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790" windowHeight="9120" activeTab="0"/>
  </bookViews>
  <sheets>
    <sheet name="第３砲塔艤装" sheetId="1" r:id="rId1"/>
    <sheet name="角度寸法" sheetId="2" r:id="rId2"/>
  </sheets>
  <definedNames>
    <definedName name="_xlnm.Print_Area" localSheetId="0">'第３砲塔艤装'!$B$2:$P$15</definedName>
  </definedNames>
  <calcPr fullCalcOnLoad="1"/>
</workbook>
</file>

<file path=xl/comments1.xml><?xml version="1.0" encoding="utf-8"?>
<comments xmlns="http://schemas.openxmlformats.org/spreadsheetml/2006/main">
  <authors>
    <author>GOME</author>
    <author>Mr.参謀</author>
  </authors>
  <commentList>
    <comment ref="M4" authorId="0">
      <text>
        <r>
          <rPr>
            <b/>
            <sz val="9"/>
            <rFont val="ＭＳ Ｐゴシック"/>
            <family val="3"/>
          </rPr>
          <t>88.5%</t>
        </r>
      </text>
    </comment>
    <comment ref="M6" authorId="0">
      <text>
        <r>
          <rPr>
            <b/>
            <sz val="9"/>
            <rFont val="ＭＳ Ｐゴシック"/>
            <family val="3"/>
          </rPr>
          <t>視傾角10.9°</t>
        </r>
      </text>
    </comment>
    <comment ref="E6" authorId="0">
      <text>
        <r>
          <rPr>
            <b/>
            <sz val="9"/>
            <rFont val="ＭＳ Ｐゴシック"/>
            <family val="3"/>
          </rPr>
          <t>バーベット楕円長径</t>
        </r>
      </text>
    </comment>
    <comment ref="M7" authorId="0">
      <text>
        <r>
          <rPr>
            <b/>
            <sz val="9"/>
            <rFont val="ＭＳ Ｐゴシック"/>
            <family val="3"/>
          </rPr>
          <t>視傾角10.9°</t>
        </r>
      </text>
    </comment>
    <comment ref="J137" authorId="0">
      <text>
        <r>
          <rPr>
            <b/>
            <sz val="9"/>
            <rFont val="ＭＳ Ｐゴシック"/>
            <family val="3"/>
          </rPr>
          <t>舳先～第2砲塔中心</t>
        </r>
      </text>
    </comment>
    <comment ref="J139" authorId="0">
      <text>
        <r>
          <rPr>
            <b/>
            <sz val="9"/>
            <rFont val="ＭＳ Ｐゴシック"/>
            <family val="3"/>
          </rPr>
          <t>第1～第2砲塔中心</t>
        </r>
      </text>
    </comment>
    <comment ref="L104" authorId="0">
      <text>
        <r>
          <rPr>
            <b/>
            <sz val="9"/>
            <rFont val="ＭＳ Ｐゴシック"/>
            <family val="3"/>
          </rPr>
          <t>楕円センター位置補正</t>
        </r>
      </text>
    </comment>
    <comment ref="L113" authorId="0">
      <text>
        <r>
          <rPr>
            <b/>
            <sz val="9"/>
            <rFont val="ＭＳ Ｐゴシック"/>
            <family val="3"/>
          </rPr>
          <t>楕円センター位置補正</t>
        </r>
      </text>
    </comment>
    <comment ref="L120" authorId="1">
      <text>
        <r>
          <rPr>
            <b/>
            <sz val="9"/>
            <rFont val="ＭＳ Ｐゴシック"/>
            <family val="3"/>
          </rPr>
          <t>距離換算：92.7%</t>
        </r>
      </text>
    </comment>
    <comment ref="L116" authorId="1">
      <text>
        <r>
          <rPr>
            <b/>
            <sz val="9"/>
            <rFont val="ＭＳ Ｐゴシック"/>
            <family val="3"/>
          </rPr>
          <t>距離換算：94.1%</t>
        </r>
      </text>
    </comment>
    <comment ref="L83" authorId="0">
      <text>
        <r>
          <rPr>
            <b/>
            <sz val="9"/>
            <rFont val="ＭＳ Ｐゴシック"/>
            <family val="3"/>
          </rPr>
          <t>要再計算</t>
        </r>
      </text>
    </comment>
    <comment ref="L23" authorId="0">
      <text>
        <r>
          <rPr>
            <b/>
            <sz val="9"/>
            <rFont val="ＭＳ Ｐゴシック"/>
            <family val="3"/>
          </rPr>
          <t>左舷係数</t>
        </r>
      </text>
    </comment>
  </commentList>
</comments>
</file>

<file path=xl/sharedStrings.xml><?xml version="1.0" encoding="utf-8"?>
<sst xmlns="http://schemas.openxmlformats.org/spreadsheetml/2006/main" count="225" uniqueCount="210">
  <si>
    <t>後部偽装全体</t>
  </si>
  <si>
    <t>原写真</t>
  </si>
  <si>
    <t>部位</t>
  </si>
  <si>
    <t>計算結果</t>
  </si>
  <si>
    <t>現在値</t>
  </si>
  <si>
    <t>決定値</t>
  </si>
  <si>
    <t>備考</t>
  </si>
  <si>
    <t>比率</t>
  </si>
  <si>
    <t>左舷</t>
  </si>
  <si>
    <t>右舷</t>
  </si>
  <si>
    <t>長さ</t>
  </si>
  <si>
    <t>左比率</t>
  </si>
  <si>
    <t>(合成)</t>
  </si>
  <si>
    <t>/遠近補正</t>
  </si>
  <si>
    <t>/傾斜補正</t>
  </si>
  <si>
    <t>バーベット～砲塔隙間</t>
  </si>
  <si>
    <t>前面装甲上横テーパー部幅</t>
  </si>
  <si>
    <t>側面前部装甲折れ点バーベットマージン</t>
  </si>
  <si>
    <t>砲塔最広部バーベットマージン</t>
  </si>
  <si>
    <t>前縁下部装甲先端バーベットマージン</t>
  </si>
  <si>
    <t>前面装甲表面縦長さ</t>
  </si>
  <si>
    <t>前面装甲右砲穴下長さ</t>
  </si>
  <si>
    <t>前縁下部装甲先端長さ</t>
  </si>
  <si>
    <t>前面装甲中砲穴上長さ</t>
  </si>
  <si>
    <t>主砲下水平装甲厚</t>
  </si>
  <si>
    <t>基準</t>
  </si>
  <si>
    <t>基準</t>
  </si>
  <si>
    <t>前面装甲上端～右砲中心距離</t>
  </si>
  <si>
    <t>誤差</t>
  </si>
  <si>
    <t>直射鏡の底面からの高さ</t>
  </si>
  <si>
    <t>天面センター底面からの高さ</t>
  </si>
  <si>
    <t>傾斜角度</t>
  </si>
  <si>
    <t>学研20P10右舷.jpg</t>
  </si>
  <si>
    <t>第２主砲後部装甲</t>
  </si>
  <si>
    <t>第２主砲後部装甲</t>
  </si>
  <si>
    <t>第１主砲後部装甲</t>
  </si>
  <si>
    <t>学研20P11右舷.jpg</t>
  </si>
  <si>
    <t>2011.11.27</t>
  </si>
  <si>
    <t>丸スペ115P55</t>
  </si>
  <si>
    <t>旋回盤縦.jpg</t>
  </si>
  <si>
    <t>旋回盤天面直径(後部角穴基準)</t>
  </si>
  <si>
    <t>バーベット前面高さ</t>
  </si>
  <si>
    <t>バーベット側面(左舷)高さ</t>
  </si>
  <si>
    <t>直射鏡両端間の長さ(1)</t>
  </si>
  <si>
    <t>直射鏡両端間の長さ(2)</t>
  </si>
  <si>
    <t>丸93-02付録13HT</t>
  </si>
  <si>
    <t>第１・2砲塔底からの前面装甲高さ</t>
  </si>
  <si>
    <t>第１・2砲塔底からの後面装甲高さ</t>
  </si>
  <si>
    <t>前面装甲の底面からの高さ(1)</t>
  </si>
  <si>
    <t>直射鏡～前面装甲上までの高さ(1)</t>
  </si>
  <si>
    <t>直射鏡～前面装甲上までの高さ(2)</t>
  </si>
  <si>
    <t>右砲中部段差～砲先端</t>
  </si>
  <si>
    <t>旋回盤天面左半径(砲耳延長線基準)</t>
  </si>
  <si>
    <t>学研20P11右舷.jpg</t>
  </si>
  <si>
    <t>第2砲塔底からの後面装甲高さ</t>
  </si>
  <si>
    <t>MA旋回盤側面逆.jpg</t>
  </si>
  <si>
    <t>旋回盤下部直径(円筒部)</t>
  </si>
  <si>
    <t>他で参照</t>
  </si>
  <si>
    <t>学研54P099旋回盤側面正.jpg</t>
  </si>
  <si>
    <t>旋回盤下部直径(フランジ部)</t>
  </si>
  <si>
    <t>MA主砲1+2艤装.jpg</t>
  </si>
  <si>
    <t>旋回ギア高さ</t>
  </si>
  <si>
    <t>ローラーパス中心径</t>
  </si>
  <si>
    <t>ローラーパス外径</t>
  </si>
  <si>
    <t>ローラーパス内径</t>
  </si>
  <si>
    <t>旋回ギア直径（歯先）</t>
  </si>
  <si>
    <t>ローラーパス上深さ（バーベット上端より）</t>
  </si>
  <si>
    <t>(同上)右２５°付近</t>
  </si>
  <si>
    <t>(同上)左２５°付近</t>
  </si>
  <si>
    <t>主砲右砲装甲表面直径(1)</t>
  </si>
  <si>
    <t>主砲中砲装甲表面直径(2)</t>
  </si>
  <si>
    <t>右砲中部屈曲点～砲中部段差</t>
  </si>
  <si>
    <t>右砲砲鞍先端～砲中部屈曲点</t>
  </si>
  <si>
    <t>段差部32°→長さx0.53</t>
  </si>
  <si>
    <t>砲先端38.2°→長さx0.62</t>
  </si>
  <si>
    <t>中砲中部段差～砲先端</t>
  </si>
  <si>
    <t>砲鞍先端30°→長さx0.496</t>
  </si>
  <si>
    <t>右砲装甲表面～砲鞍先端</t>
  </si>
  <si>
    <t>砲先端38.2°→長さx0.62</t>
  </si>
  <si>
    <t>段差部(35)°→長さx0.57</t>
  </si>
  <si>
    <t>砲鞍先端(35)°→長さx0.57</t>
  </si>
  <si>
    <t>装甲表面(35)°→長さx0.57</t>
  </si>
  <si>
    <t>右砲砲鞍先端～合計砲身長(1)</t>
  </si>
  <si>
    <t>中砲砲鞍先端～合計砲身長(2)</t>
  </si>
  <si>
    <t>測定値１(左舷)</t>
  </si>
  <si>
    <t>測定値2(右舷)</t>
  </si>
  <si>
    <t>フランジ含む</t>
  </si>
  <si>
    <t>中砲装甲表面～砲鞍先端</t>
  </si>
  <si>
    <t>中砲砲鞍先端～砲中部屈曲点</t>
  </si>
  <si>
    <t>中砲中部屈曲点～砲中部段差</t>
  </si>
  <si>
    <t>既定値12.274は誤り</t>
  </si>
  <si>
    <t>旋回盤下部ピニオン切り欠き幅</t>
  </si>
  <si>
    <t>旋回盤下部ピニオン切り欠き高さ</t>
  </si>
  <si>
    <t>旋回盤下部ピニオン上ギア切り欠き高さ</t>
  </si>
  <si>
    <t>旋回盤中砲後部穴距離（中心より）</t>
  </si>
  <si>
    <t>旋回盤砲鞍支器後端距離（中心より）</t>
  </si>
  <si>
    <t>左砲中砲軸間距離</t>
  </si>
  <si>
    <t>右砲中砲軸間距離</t>
  </si>
  <si>
    <t>旋回盤天面直径(砲耳延長線基準)</t>
  </si>
  <si>
    <t>左砲中砲軸間距離(砲耳延長線基準)</t>
  </si>
  <si>
    <t>右砲中砲軸間距離(砲耳延長線基準)</t>
  </si>
  <si>
    <t>旋回盤上部直径(円筒部)(1)</t>
  </si>
  <si>
    <t>旋回盤上部直径(円筒部)(2)</t>
  </si>
  <si>
    <t>旋回盤最下部直径(1)</t>
  </si>
  <si>
    <t>旋回盤最下部直径(2)</t>
  </si>
  <si>
    <t>旋回盤上部高さ(1)</t>
  </si>
  <si>
    <t>旋回盤下部高さ(1)</t>
  </si>
  <si>
    <t>旋回盤上部高さ(2)</t>
  </si>
  <si>
    <t>旋回盤下部高さ(2)</t>
  </si>
  <si>
    <t>旋回盤天面右半径(砲耳延長線基準)</t>
  </si>
  <si>
    <t>学研20P107</t>
  </si>
  <si>
    <t>側面後部装甲200.jpg</t>
  </si>
  <si>
    <t>天面板角～測距儀カバー前面上端</t>
  </si>
  <si>
    <t>測距儀カバー前面上端～下端（延長線）</t>
  </si>
  <si>
    <t>測距儀カバー前面下端～補強板下端</t>
  </si>
  <si>
    <t>測距儀カバー前面補強板下端～砲塔下面</t>
  </si>
  <si>
    <t>（第2砲塔）</t>
  </si>
  <si>
    <t>（第1砲塔）</t>
  </si>
  <si>
    <t>砲塔後端幅</t>
  </si>
  <si>
    <t>12°延長線より</t>
  </si>
  <si>
    <t>測距儀室隔壁仮想両端位置砲塔幅</t>
  </si>
  <si>
    <t>測距儀室隔壁上端直線部幅</t>
  </si>
  <si>
    <t>測距儀室隔壁上端傾斜点幅</t>
  </si>
  <si>
    <t>測距儀カバー前面砲塔底部～上部折れ目</t>
  </si>
  <si>
    <t>測距儀カバー前面角窓高さ</t>
  </si>
  <si>
    <t>測距儀カバー中央部高さ</t>
  </si>
  <si>
    <t>測距儀カバー前縁上部テーパー部高さ</t>
  </si>
  <si>
    <t>測距儀カバー前縁下部テーパー部高さ</t>
  </si>
  <si>
    <t>丸93-02付録12-1.jpg</t>
  </si>
  <si>
    <t>測距儀カバー前面側板～角窓中央(2)</t>
  </si>
  <si>
    <t>測距儀カバー前面側板～角窓中央(1)</t>
  </si>
  <si>
    <t>測距儀カバー前面下補強板幅</t>
  </si>
  <si>
    <t>直射鏡軸のバーベット中心からの距離</t>
  </si>
  <si>
    <t>直射鏡先端の直径</t>
  </si>
  <si>
    <t>直射鏡軸の前面装甲板トップからの距離</t>
  </si>
  <si>
    <t>伝説の大和P024.jpg</t>
  </si>
  <si>
    <t>測距儀カバー後部切り欠き幅</t>
  </si>
  <si>
    <t>測距儀カバー前面角窓幅</t>
  </si>
  <si>
    <t>測距儀カバー前面両端距離差7%</t>
  </si>
  <si>
    <t>測距儀カバー前面中央部全幅(1)</t>
  </si>
  <si>
    <t>測距儀カバー前面中央部全幅(2)</t>
  </si>
  <si>
    <t>視傾角６°</t>
  </si>
  <si>
    <t>基準長ｍ</t>
  </si>
  <si>
    <t>基準長cad図より</t>
  </si>
  <si>
    <t>測距儀カバー側板テーパー部長さ</t>
  </si>
  <si>
    <t>左右非対称の記録あり</t>
  </si>
  <si>
    <t>旋回盤中砲後部穴後端～旋回盤後端距離</t>
  </si>
  <si>
    <t>旋回ギア上端深さ(ローラー上より）</t>
  </si>
  <si>
    <t>ローラーパス長さ(ガイド部分含む)</t>
  </si>
  <si>
    <t>報告書=350-22=328</t>
  </si>
  <si>
    <t>旋回盤中砲右砲架上部最大幅</t>
  </si>
  <si>
    <t>報告書=860</t>
  </si>
  <si>
    <t>報告書=925</t>
  </si>
  <si>
    <t>旋回盤中砲左砲架上部最大幅</t>
  </si>
  <si>
    <t>旋回盤左砲左砲架上部最大幅</t>
  </si>
  <si>
    <t>旋回盤右砲右砲架尾部幅</t>
  </si>
  <si>
    <t>旋回盤左砲左砲架尾部幅</t>
  </si>
  <si>
    <t>旋回盤右砲右砲架上部最大幅</t>
  </si>
  <si>
    <t>旋回盤中砲右砲架尾部幅</t>
  </si>
  <si>
    <t>旋回盤中砲左砲架尾部幅</t>
  </si>
  <si>
    <t>報告書=760-22-22=716</t>
  </si>
  <si>
    <t>旋回盤左旋回ギア穴～端面距離</t>
  </si>
  <si>
    <t>旋回盤右旋回ギア穴～端面距離</t>
  </si>
  <si>
    <t>報告書=445-22-22=401</t>
  </si>
  <si>
    <t>旋回盤右砲砲架上部距離</t>
  </si>
  <si>
    <t>旋回盤中砲砲架上部距離</t>
  </si>
  <si>
    <t>旋回盤左砲砲架上部距離</t>
  </si>
  <si>
    <t>遠近加算</t>
  </si>
  <si>
    <t>測距儀室隔壁側面折れ点幅</t>
  </si>
  <si>
    <t>↓砲軸間距離=</t>
  </si>
  <si>
    <t>バーベット外径(1) (中心優先)</t>
  </si>
  <si>
    <t>バーベット外径(2) (正角度)</t>
  </si>
  <si>
    <t>砲軸間距離(1)　中砲右砲間</t>
  </si>
  <si>
    <t>砲軸間距離(2) (左右)</t>
  </si>
  <si>
    <t>前面装甲幅(1) (上部仮想延長角間)</t>
  </si>
  <si>
    <t>前面装甲幅(2) (下部仮想延長角間)</t>
  </si>
  <si>
    <t>前面装甲幅(4) (下部ガイド枠下)</t>
  </si>
  <si>
    <t>前面装甲幅(3) (上部傾斜折れ点間)</t>
  </si>
  <si>
    <t>前面装甲両端バーベット外張り出し</t>
  </si>
  <si>
    <t>前面装甲の底面からの高さ(2)</t>
  </si>
  <si>
    <t>旋回盤左砲左～旋回盤左端距離(1)</t>
  </si>
  <si>
    <t>旋回盤左砲穴幅(2)</t>
  </si>
  <si>
    <t>旋回盤左砲～中砲間床幅(2)</t>
  </si>
  <si>
    <t>旋回盤左砲穴幅(1)</t>
  </si>
  <si>
    <t>旋回盤左砲～中砲間床幅(1)</t>
  </si>
  <si>
    <t>旋回盤中砲穴幅(1)</t>
  </si>
  <si>
    <t>旋回盤中砲～右砲間床幅(1)</t>
  </si>
  <si>
    <t>旋回盤右砲穴幅(1)</t>
  </si>
  <si>
    <t>旋回盤右砲右～旋回盤右端距離(1)</t>
  </si>
  <si>
    <t>旋回盤幅合計(1) (天面直径)</t>
  </si>
  <si>
    <t>旋回盤左砲左～旋回盤左端距離(2)</t>
  </si>
  <si>
    <t>旋回盤中砲穴幅(2)</t>
  </si>
  <si>
    <t>旋回盤中砲～右砲間床幅(2)</t>
  </si>
  <si>
    <t>旋回盤右砲穴幅(2)</t>
  </si>
  <si>
    <t>旋回盤右砲右～旋回盤右端距離(2)</t>
  </si>
  <si>
    <t>旋回盤幅合計(2) (天面直径)</t>
  </si>
  <si>
    <t>前面装甲幅距離係数補正(±%)</t>
  </si>
  <si>
    <t>←通常０にする</t>
  </si>
  <si>
    <t>バーベット中心撮影距離３７ｍ</t>
  </si>
  <si>
    <t>モジュール48.3歯数240低歯PD=11.6m</t>
  </si>
  <si>
    <r>
      <t>砲軸間距離=3.</t>
    </r>
    <r>
      <rPr>
        <sz val="11"/>
        <rFont val="ＭＳ Ｐゴシック"/>
        <family val="3"/>
      </rPr>
      <t>05</t>
    </r>
  </si>
  <si>
    <t>前面装甲右砲眼幅(1)</t>
  </si>
  <si>
    <t>前面装甲中砲眼幅(2)</t>
  </si>
  <si>
    <t>撮影距離（バーベット中心67m)</t>
  </si>
  <si>
    <t>中砲砲軸の底面からの高さ</t>
  </si>
  <si>
    <t>第３天板後部底面からの高さ</t>
  </si>
  <si>
    <t>2012.01.03</t>
  </si>
  <si>
    <t>側板後部中心からの前後距離</t>
  </si>
  <si>
    <t>測距儀室隔壁側板後部からの前後距離</t>
  </si>
  <si>
    <t>測距儀室隔壁仮想延長両端幅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</si>
</sst>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_);[Red]\(0.00\)"/>
    <numFmt numFmtId="182" formatCode="0.00000000000000_);[Red]\(0.000000000000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_);[Red]\(0.000\)"/>
    <numFmt numFmtId="194" formatCode="0.000000000000000_);[Red]\(0.000000000000000\)"/>
    <numFmt numFmtId="195" formatCode="0.0000000000000000_);[Red]\(0.0000000000000000\)"/>
    <numFmt numFmtId="196" formatCode="0.00000000000000000_);[Red]\(0.00000000000000000\)"/>
    <numFmt numFmtId="197" formatCode="0.000000000000000000_);[Red]\(0.000000000000000000\)"/>
    <numFmt numFmtId="198" formatCode="0.0000000000000000000_);[Red]\(0.0000000000000000000\)"/>
    <numFmt numFmtId="199" formatCode="0.00000000000000000000_);[Red]\(0.00000000000000000000\)"/>
    <numFmt numFmtId="200" formatCode="0.000000000000000000000_);[Red]\(0.000000000000000000000\)"/>
    <numFmt numFmtId="201" formatCode="0.0000000000000000000000_);[Red]\(0.0000000000000000000000\)"/>
    <numFmt numFmtId="202" formatCode="0.00000000000000000000000_);[Red]\(0.00000000000000000000000\)"/>
    <numFmt numFmtId="203" formatCode="0.000000000000000000000000_);[Red]\(0.000000000000000000000000\)"/>
    <numFmt numFmtId="204" formatCode="0.0000000000000000000000000_);[Red]\(0.0000000000000000000000000\)"/>
    <numFmt numFmtId="205" formatCode="0.00000000000000000000000000_);[Red]\(0.00000000000000000000000000\)"/>
    <numFmt numFmtId="206" formatCode="0.000000000000000000000000000_);[Red]\(0.000000000000000000000000000\)"/>
    <numFmt numFmtId="207" formatCode="0.0000000000000000000000000000_);[Red]\(0.0000000000000000000000000000\)"/>
    <numFmt numFmtId="208" formatCode="0.0"/>
    <numFmt numFmtId="209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8"/>
      <name val="ＭＳ Ｐゴシック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>
        <color indexed="63"/>
      </bottom>
    </border>
    <border>
      <left style="thick"/>
      <right style="thin"/>
      <top style="hair"/>
      <bottom style="thick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Fill="1" applyBorder="1" applyAlignment="1">
      <alignment/>
    </xf>
    <xf numFmtId="2" fontId="0" fillId="0" borderId="5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2" fontId="2" fillId="0" borderId="2" xfId="0" applyNumberFormat="1" applyFont="1" applyFill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2" fillId="0" borderId="5" xfId="0" applyNumberFormat="1" applyFont="1" applyFill="1" applyBorder="1" applyAlignment="1">
      <alignment/>
    </xf>
    <xf numFmtId="177" fontId="2" fillId="4" borderId="2" xfId="0" applyNumberFormat="1" applyFont="1" applyFill="1" applyBorder="1" applyAlignment="1">
      <alignment/>
    </xf>
    <xf numFmtId="177" fontId="0" fillId="0" borderId="9" xfId="0" applyNumberFormat="1" applyBorder="1" applyAlignment="1">
      <alignment/>
    </xf>
    <xf numFmtId="0" fontId="0" fillId="3" borderId="0" xfId="0" applyFill="1" applyAlignment="1">
      <alignment/>
    </xf>
    <xf numFmtId="0" fontId="0" fillId="0" borderId="5" xfId="0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2" fillId="6" borderId="2" xfId="0" applyNumberFormat="1" applyFont="1" applyFill="1" applyBorder="1" applyAlignment="1">
      <alignment/>
    </xf>
    <xf numFmtId="177" fontId="2" fillId="6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0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 horizontal="right"/>
    </xf>
    <xf numFmtId="177" fontId="0" fillId="0" borderId="9" xfId="0" applyNumberFormat="1" applyFill="1" applyBorder="1" applyAlignment="1">
      <alignment/>
    </xf>
    <xf numFmtId="177" fontId="5" fillId="0" borderId="9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7" borderId="2" xfId="0" applyFill="1" applyBorder="1" applyAlignment="1">
      <alignment/>
    </xf>
    <xf numFmtId="177" fontId="2" fillId="6" borderId="5" xfId="0" applyNumberFormat="1" applyFont="1" applyFill="1" applyBorder="1" applyAlignment="1">
      <alignment/>
    </xf>
    <xf numFmtId="0" fontId="0" fillId="8" borderId="5" xfId="0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177" fontId="0" fillId="0" borderId="9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2" fontId="5" fillId="0" borderId="5" xfId="0" applyNumberFormat="1" applyFont="1" applyFill="1" applyBorder="1" applyAlignment="1">
      <alignment/>
    </xf>
    <xf numFmtId="0" fontId="0" fillId="9" borderId="2" xfId="0" applyFill="1" applyBorder="1" applyAlignment="1">
      <alignment/>
    </xf>
    <xf numFmtId="2" fontId="0" fillId="3" borderId="5" xfId="0" applyNumberFormat="1" applyFill="1" applyBorder="1" applyAlignment="1">
      <alignment/>
    </xf>
    <xf numFmtId="177" fontId="2" fillId="4" borderId="5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2" fillId="4" borderId="11" xfId="0" applyNumberFormat="1" applyFont="1" applyFill="1" applyBorder="1" applyAlignment="1">
      <alignment/>
    </xf>
    <xf numFmtId="177" fontId="2" fillId="4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77" fontId="2" fillId="4" borderId="14" xfId="0" applyNumberFormat="1" applyFont="1" applyFill="1" applyBorder="1" applyAlignment="1">
      <alignment/>
    </xf>
    <xf numFmtId="177" fontId="2" fillId="6" borderId="15" xfId="0" applyNumberFormat="1" applyFont="1" applyFill="1" applyBorder="1" applyAlignment="1">
      <alignment/>
    </xf>
    <xf numFmtId="2" fontId="6" fillId="0" borderId="5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177" fontId="0" fillId="0" borderId="16" xfId="0" applyNumberFormat="1" applyFont="1" applyBorder="1" applyAlignment="1">
      <alignment/>
    </xf>
    <xf numFmtId="0" fontId="0" fillId="6" borderId="5" xfId="0" applyFill="1" applyBorder="1" applyAlignment="1">
      <alignment/>
    </xf>
    <xf numFmtId="0" fontId="0" fillId="10" borderId="5" xfId="0" applyFill="1" applyBorder="1" applyAlignment="1">
      <alignment/>
    </xf>
    <xf numFmtId="177" fontId="0" fillId="0" borderId="5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2" fontId="2" fillId="0" borderId="20" xfId="0" applyNumberFormat="1" applyFont="1" applyFill="1" applyBorder="1" applyAlignment="1">
      <alignment/>
    </xf>
    <xf numFmtId="177" fontId="0" fillId="3" borderId="5" xfId="0" applyNumberFormat="1" applyFont="1" applyFill="1" applyBorder="1" applyAlignment="1">
      <alignment/>
    </xf>
    <xf numFmtId="0" fontId="0" fillId="0" borderId="2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3" xfId="0" applyBorder="1" applyAlignment="1">
      <alignment shrinkToFit="1"/>
    </xf>
    <xf numFmtId="177" fontId="2" fillId="4" borderId="15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2" fillId="6" borderId="20" xfId="0" applyNumberFormat="1" applyFont="1" applyFill="1" applyBorder="1" applyAlignment="1">
      <alignment/>
    </xf>
    <xf numFmtId="177" fontId="2" fillId="4" borderId="21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7" fontId="2" fillId="4" borderId="23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7" fontId="2" fillId="4" borderId="25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0" fontId="0" fillId="0" borderId="5" xfId="0" applyFont="1" applyBorder="1" applyAlignment="1">
      <alignment horizontal="right"/>
    </xf>
    <xf numFmtId="2" fontId="0" fillId="0" borderId="27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0" fillId="0" borderId="5" xfId="0" applyFont="1" applyBorder="1" applyAlignment="1">
      <alignment shrinkToFit="1"/>
    </xf>
    <xf numFmtId="0" fontId="7" fillId="0" borderId="5" xfId="0" applyFont="1" applyBorder="1" applyAlignment="1">
      <alignment/>
    </xf>
    <xf numFmtId="0" fontId="0" fillId="11" borderId="2" xfId="0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81" fontId="2" fillId="0" borderId="5" xfId="0" applyNumberFormat="1" applyFont="1" applyBorder="1" applyAlignment="1">
      <alignment horizontal="left" shrinkToFit="1"/>
    </xf>
    <xf numFmtId="2" fontId="2" fillId="2" borderId="20" xfId="0" applyNumberFormat="1" applyFont="1" applyFill="1" applyBorder="1" applyAlignment="1">
      <alignment/>
    </xf>
    <xf numFmtId="177" fontId="0" fillId="0" borderId="9" xfId="0" applyNumberFormat="1" applyFill="1" applyBorder="1" applyAlignment="1">
      <alignment horizontal="right"/>
    </xf>
    <xf numFmtId="2" fontId="0" fillId="2" borderId="2" xfId="0" applyNumberFormat="1" applyFont="1" applyFill="1" applyBorder="1" applyAlignment="1">
      <alignment/>
    </xf>
    <xf numFmtId="177" fontId="7" fillId="0" borderId="2" xfId="0" applyNumberFormat="1" applyFont="1" applyFill="1" applyBorder="1" applyAlignment="1">
      <alignment/>
    </xf>
    <xf numFmtId="177" fontId="2" fillId="11" borderId="2" xfId="0" applyNumberFormat="1" applyFont="1" applyFill="1" applyBorder="1" applyAlignment="1">
      <alignment/>
    </xf>
    <xf numFmtId="0" fontId="0" fillId="12" borderId="2" xfId="0" applyFill="1" applyBorder="1" applyAlignment="1">
      <alignment/>
    </xf>
    <xf numFmtId="193" fontId="2" fillId="0" borderId="5" xfId="0" applyNumberFormat="1" applyFont="1" applyBorder="1" applyAlignment="1">
      <alignment horizontal="left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66"/>
  <sheetViews>
    <sheetView tabSelected="1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1.4921875" style="0" customWidth="1"/>
    <col min="2" max="2" width="20.625" style="0" customWidth="1"/>
    <col min="3" max="3" width="32.625" style="0" customWidth="1"/>
    <col min="4" max="9" width="6.625" style="0" customWidth="1"/>
    <col min="10" max="10" width="8.625" style="0" customWidth="1"/>
    <col min="11" max="11" width="6.625" style="0" customWidth="1"/>
    <col min="12" max="13" width="9.125" style="0" customWidth="1"/>
    <col min="14" max="15" width="8.625" style="0" customWidth="1"/>
    <col min="16" max="16" width="6.625" style="0" customWidth="1"/>
    <col min="17" max="17" width="35.625" style="0" customWidth="1"/>
  </cols>
  <sheetData>
    <row r="1" spans="14:16" ht="13.5">
      <c r="N1" s="16"/>
      <c r="O1" s="16"/>
      <c r="P1" s="16"/>
    </row>
    <row r="2" spans="3:15" ht="14.25">
      <c r="C2" s="39" t="s">
        <v>206</v>
      </c>
      <c r="D2" s="8" t="s">
        <v>84</v>
      </c>
      <c r="E2" s="9"/>
      <c r="F2" s="8" t="s">
        <v>85</v>
      </c>
      <c r="G2" s="9"/>
      <c r="H2" s="22" t="s">
        <v>7</v>
      </c>
      <c r="I2" s="10"/>
      <c r="O2" s="33" t="s">
        <v>57</v>
      </c>
    </row>
    <row r="3" spans="2:17" ht="13.5">
      <c r="B3" s="4" t="s">
        <v>1</v>
      </c>
      <c r="C3" s="4" t="s">
        <v>2</v>
      </c>
      <c r="D3" s="4" t="s">
        <v>10</v>
      </c>
      <c r="E3" s="4" t="s">
        <v>26</v>
      </c>
      <c r="F3" s="4" t="s">
        <v>10</v>
      </c>
      <c r="G3" s="4" t="s">
        <v>25</v>
      </c>
      <c r="H3" s="4" t="s">
        <v>8</v>
      </c>
      <c r="I3" s="4" t="s">
        <v>9</v>
      </c>
      <c r="J3" s="4" t="s">
        <v>142</v>
      </c>
      <c r="K3" s="4" t="s">
        <v>11</v>
      </c>
      <c r="L3" s="15" t="s">
        <v>13</v>
      </c>
      <c r="M3" s="4" t="s">
        <v>14</v>
      </c>
      <c r="N3" s="4" t="s">
        <v>3</v>
      </c>
      <c r="O3" s="4" t="s">
        <v>5</v>
      </c>
      <c r="P3" s="4" t="s">
        <v>28</v>
      </c>
      <c r="Q3" s="4" t="s">
        <v>6</v>
      </c>
    </row>
    <row r="4" spans="2:17" ht="13.5">
      <c r="B4" s="5" t="s">
        <v>0</v>
      </c>
      <c r="C4" s="2" t="s">
        <v>170</v>
      </c>
      <c r="D4" s="5">
        <v>94.68</v>
      </c>
      <c r="E4" s="21">
        <f>D4+168.81</f>
        <v>263.49</v>
      </c>
      <c r="F4" s="5">
        <v>88.52</v>
      </c>
      <c r="G4" s="21">
        <f>F4+116.07</f>
        <v>204.58999999999997</v>
      </c>
      <c r="H4" s="21">
        <f aca="true" t="shared" si="0" ref="H4:H19">D4/E4</f>
        <v>0.3593305248776045</v>
      </c>
      <c r="I4" s="21">
        <f>F4/G4</f>
        <v>0.43267021848575205</v>
      </c>
      <c r="J4" s="28">
        <v>38.9</v>
      </c>
      <c r="K4" s="75">
        <v>0.45</v>
      </c>
      <c r="L4" s="76">
        <v>1</v>
      </c>
      <c r="M4" s="27">
        <v>1</v>
      </c>
      <c r="N4" s="17">
        <f>(H4*K4+I4*(1-K4))*J4/L4/M4</f>
        <v>15.54706016248513</v>
      </c>
      <c r="O4" s="58">
        <v>15.2</v>
      </c>
      <c r="P4" s="72">
        <f>N4-O4</f>
        <v>0.34706016248513016</v>
      </c>
      <c r="Q4" s="80"/>
    </row>
    <row r="5" spans="2:17" ht="13.5">
      <c r="B5" s="5" t="s">
        <v>12</v>
      </c>
      <c r="C5" s="2" t="s">
        <v>171</v>
      </c>
      <c r="D5" s="5">
        <v>94.74</v>
      </c>
      <c r="E5" s="21">
        <f>D5+168.81</f>
        <v>263.55</v>
      </c>
      <c r="F5" s="5">
        <v>85.8</v>
      </c>
      <c r="G5" s="21">
        <f>F5+115.17</f>
        <v>200.97</v>
      </c>
      <c r="H5" s="21">
        <f>D5/E5</f>
        <v>0.35947638019351164</v>
      </c>
      <c r="I5" s="21">
        <f>F5/G5</f>
        <v>0.4269293924466338</v>
      </c>
      <c r="J5" s="28">
        <v>38.9</v>
      </c>
      <c r="K5" s="24">
        <v>0.45</v>
      </c>
      <c r="L5" s="77">
        <v>1</v>
      </c>
      <c r="M5" s="27">
        <v>1</v>
      </c>
      <c r="N5" s="17">
        <f>(H5*K5+I5*(1-K5))*J5/L5/M5</f>
        <v>15.426788386683151</v>
      </c>
      <c r="O5" s="36">
        <v>15.2</v>
      </c>
      <c r="P5" s="72">
        <f aca="true" t="shared" si="1" ref="P5:P45">N5-O5</f>
        <v>0.22678838668315215</v>
      </c>
      <c r="Q5" s="80"/>
    </row>
    <row r="6" spans="2:17" ht="13.5">
      <c r="B6" s="5"/>
      <c r="C6" s="2" t="s">
        <v>42</v>
      </c>
      <c r="D6" s="5">
        <v>11.86</v>
      </c>
      <c r="E6" s="25">
        <v>203.2</v>
      </c>
      <c r="F6" s="5"/>
      <c r="G6" s="5"/>
      <c r="H6" s="21">
        <f t="shared" si="0"/>
        <v>0.058366141732283466</v>
      </c>
      <c r="I6" s="21"/>
      <c r="J6" s="30">
        <f aca="true" t="shared" si="2" ref="J6:J16">O$4</f>
        <v>15.2</v>
      </c>
      <c r="K6" s="24"/>
      <c r="L6" s="43">
        <v>1.052</v>
      </c>
      <c r="M6" s="35">
        <f>COS(10.9/180*3.14)</f>
        <v>0.9819769452548368</v>
      </c>
      <c r="N6" s="31">
        <f aca="true" t="shared" si="3" ref="N6:N16">(H6)*J6/L6/M6</f>
        <v>0.8587911137160119</v>
      </c>
      <c r="O6" s="58">
        <v>0.86</v>
      </c>
      <c r="P6" s="30">
        <f t="shared" si="1"/>
        <v>-0.0012088862839880754</v>
      </c>
      <c r="Q6" s="80" t="s">
        <v>203</v>
      </c>
    </row>
    <row r="7" spans="2:17" ht="13.5">
      <c r="B7" s="5"/>
      <c r="C7" s="2" t="s">
        <v>41</v>
      </c>
      <c r="D7" s="5">
        <v>11.02</v>
      </c>
      <c r="E7" s="21">
        <f>E$6</f>
        <v>203.2</v>
      </c>
      <c r="F7" s="5"/>
      <c r="G7" s="5"/>
      <c r="H7" s="21">
        <f>D7/E7</f>
        <v>0.05423228346456693</v>
      </c>
      <c r="I7" s="21"/>
      <c r="J7" s="30">
        <f t="shared" si="2"/>
        <v>15.2</v>
      </c>
      <c r="K7" s="24"/>
      <c r="L7" s="43">
        <v>1.107</v>
      </c>
      <c r="M7" s="35">
        <f>COS(10.9/180*3.14)</f>
        <v>0.9819769452548368</v>
      </c>
      <c r="N7" s="31">
        <f t="shared" si="3"/>
        <v>0.7583200979931689</v>
      </c>
      <c r="O7" s="36">
        <v>0.76</v>
      </c>
      <c r="P7" s="30">
        <f>N7-O7</f>
        <v>-0.0016799020068311021</v>
      </c>
      <c r="Q7" s="80"/>
    </row>
    <row r="8" spans="2:17" ht="13.5">
      <c r="B8" s="5"/>
      <c r="C8" s="2" t="s">
        <v>15</v>
      </c>
      <c r="D8" s="5">
        <v>1.63</v>
      </c>
      <c r="E8" s="21">
        <f>E$6</f>
        <v>203.2</v>
      </c>
      <c r="F8" s="5"/>
      <c r="G8" s="5"/>
      <c r="H8" s="21">
        <f t="shared" si="0"/>
        <v>0.008021653543307087</v>
      </c>
      <c r="I8" s="21"/>
      <c r="J8" s="30">
        <f t="shared" si="2"/>
        <v>15.2</v>
      </c>
      <c r="K8" s="24"/>
      <c r="L8" s="43">
        <v>1.105</v>
      </c>
      <c r="M8" s="35">
        <f>COS(10.9/180*3.14)</f>
        <v>0.9819769452548368</v>
      </c>
      <c r="N8" s="31">
        <f t="shared" si="3"/>
        <v>0.11236832809288369</v>
      </c>
      <c r="O8" s="36">
        <v>0.12</v>
      </c>
      <c r="P8" s="30">
        <f t="shared" si="1"/>
        <v>-0.007631671907116305</v>
      </c>
      <c r="Q8" s="80"/>
    </row>
    <row r="9" spans="2:17" ht="13.5">
      <c r="B9" s="5"/>
      <c r="C9" s="2" t="s">
        <v>24</v>
      </c>
      <c r="D9" s="5">
        <v>3.4</v>
      </c>
      <c r="E9" s="21">
        <f>E$6</f>
        <v>203.2</v>
      </c>
      <c r="F9" s="5"/>
      <c r="G9" s="5"/>
      <c r="H9" s="21">
        <f t="shared" si="0"/>
        <v>0.01673228346456693</v>
      </c>
      <c r="I9" s="21"/>
      <c r="J9" s="30">
        <f t="shared" si="2"/>
        <v>15.2</v>
      </c>
      <c r="K9" s="24"/>
      <c r="L9" s="43">
        <v>1.1</v>
      </c>
      <c r="M9" s="35">
        <f>COS(10.9/180*3.14)</f>
        <v>0.9819769452548368</v>
      </c>
      <c r="N9" s="31">
        <f t="shared" si="3"/>
        <v>0.2354533232821885</v>
      </c>
      <c r="O9" s="36">
        <v>0.25</v>
      </c>
      <c r="P9" s="30">
        <f t="shared" si="1"/>
        <v>-0.014546676717811513</v>
      </c>
      <c r="Q9" s="80"/>
    </row>
    <row r="10" spans="2:17" ht="13.5">
      <c r="B10" s="5"/>
      <c r="C10" s="14" t="s">
        <v>174</v>
      </c>
      <c r="D10" s="25">
        <v>124.31</v>
      </c>
      <c r="E10" s="21">
        <f>D$5+F$5</f>
        <v>180.54</v>
      </c>
      <c r="F10" s="5"/>
      <c r="G10" s="5"/>
      <c r="H10" s="21">
        <f>D10/E10</f>
        <v>0.68854547468705</v>
      </c>
      <c r="I10" s="21"/>
      <c r="J10" s="30">
        <f>O$4</f>
        <v>15.2</v>
      </c>
      <c r="K10" s="24"/>
      <c r="L10" s="100">
        <v>1.048</v>
      </c>
      <c r="M10" s="106">
        <f>1+(L10-1)*M$17/100</f>
        <v>1</v>
      </c>
      <c r="N10" s="31">
        <f t="shared" si="3"/>
        <v>9.98653741912515</v>
      </c>
      <c r="O10" s="36">
        <v>10</v>
      </c>
      <c r="P10" s="30">
        <f>N10-O10</f>
        <v>-0.013462580874849195</v>
      </c>
      <c r="Q10" s="80"/>
    </row>
    <row r="11" spans="2:17" ht="13.5">
      <c r="B11" s="5"/>
      <c r="C11" s="14" t="s">
        <v>175</v>
      </c>
      <c r="D11" s="5">
        <v>128.42</v>
      </c>
      <c r="E11" s="21">
        <f>D$5+F$5</f>
        <v>180.54</v>
      </c>
      <c r="F11" s="5"/>
      <c r="G11" s="5"/>
      <c r="H11" s="21">
        <f>D11/E11</f>
        <v>0.7113105129057272</v>
      </c>
      <c r="I11" s="21"/>
      <c r="J11" s="30">
        <f>O$4</f>
        <v>15.2</v>
      </c>
      <c r="K11" s="24"/>
      <c r="L11" s="54">
        <v>1.083</v>
      </c>
      <c r="M11" s="106">
        <f>1+(L11-1)*M$17/100</f>
        <v>1</v>
      </c>
      <c r="N11" s="31">
        <f t="shared" si="3"/>
        <v>9.98330544429091</v>
      </c>
      <c r="O11" s="12">
        <v>10</v>
      </c>
      <c r="P11" s="30">
        <f>N11-O11</f>
        <v>-0.01669455570909051</v>
      </c>
      <c r="Q11" s="80"/>
    </row>
    <row r="12" spans="2:17" ht="13.5">
      <c r="B12" s="5"/>
      <c r="C12" s="14" t="s">
        <v>177</v>
      </c>
      <c r="D12" s="25">
        <v>124.95</v>
      </c>
      <c r="E12" s="21">
        <f>D$5+F$5</f>
        <v>180.54</v>
      </c>
      <c r="F12" s="5"/>
      <c r="G12" s="5"/>
      <c r="H12" s="21">
        <f t="shared" si="0"/>
        <v>0.692090395480226</v>
      </c>
      <c r="I12" s="21"/>
      <c r="J12" s="30">
        <f t="shared" si="2"/>
        <v>15.2</v>
      </c>
      <c r="K12" s="24"/>
      <c r="L12" s="43">
        <v>1.054</v>
      </c>
      <c r="M12" s="106">
        <f>1+(L12-1)*M$17/100</f>
        <v>1</v>
      </c>
      <c r="N12" s="31">
        <f t="shared" si="3"/>
        <v>9.980810257399842</v>
      </c>
      <c r="O12" s="58">
        <v>10</v>
      </c>
      <c r="P12" s="30">
        <f t="shared" si="1"/>
        <v>-0.019189742600158155</v>
      </c>
      <c r="Q12" s="80"/>
    </row>
    <row r="13" spans="2:17" ht="13.5">
      <c r="B13" s="5"/>
      <c r="C13" s="99" t="s">
        <v>172</v>
      </c>
      <c r="D13" s="5">
        <v>39.01</v>
      </c>
      <c r="E13" s="21">
        <f>D13+12.05+13.75</f>
        <v>64.81</v>
      </c>
      <c r="F13" s="5"/>
      <c r="G13" s="5"/>
      <c r="H13" s="21">
        <f t="shared" si="0"/>
        <v>0.6019132849868847</v>
      </c>
      <c r="I13" s="21"/>
      <c r="J13" s="30">
        <f>O$12/2</f>
        <v>5</v>
      </c>
      <c r="K13" s="24"/>
      <c r="L13" s="46">
        <f>1.011/1.0175</f>
        <v>0.9936117936117934</v>
      </c>
      <c r="M13" s="53">
        <v>0.994</v>
      </c>
      <c r="N13" s="31">
        <f t="shared" si="3"/>
        <v>3.047198957713418</v>
      </c>
      <c r="O13" s="67">
        <v>3.05</v>
      </c>
      <c r="P13" s="30">
        <f t="shared" si="1"/>
        <v>-0.002801042286581623</v>
      </c>
      <c r="Q13" s="80"/>
    </row>
    <row r="14" spans="2:17" ht="13.5">
      <c r="B14" s="5"/>
      <c r="C14" s="2" t="s">
        <v>201</v>
      </c>
      <c r="D14" s="5">
        <v>17.94</v>
      </c>
      <c r="E14" s="21">
        <f>12.05+13.75+39.01</f>
        <v>64.81</v>
      </c>
      <c r="F14" s="5">
        <v>17.94</v>
      </c>
      <c r="G14" s="21">
        <f>12.77+14.4+39.84</f>
        <v>67.01</v>
      </c>
      <c r="H14" s="21">
        <f>D14/E14</f>
        <v>0.2768091343928406</v>
      </c>
      <c r="I14" s="21">
        <f>F14/G14</f>
        <v>0.26772123563647215</v>
      </c>
      <c r="J14" s="30">
        <f>O$12/2</f>
        <v>5</v>
      </c>
      <c r="K14" s="24">
        <v>0.6</v>
      </c>
      <c r="L14" s="32">
        <v>1.004</v>
      </c>
      <c r="M14" s="27">
        <v>1</v>
      </c>
      <c r="N14" s="45">
        <f>(H14*K14+I14*(1-K14))*J14/L14/M14</f>
        <v>1.360428161804249</v>
      </c>
      <c r="O14" s="58">
        <v>1.36</v>
      </c>
      <c r="P14" s="30">
        <f>N14-O14</f>
        <v>0.0004281618042489832</v>
      </c>
      <c r="Q14" s="80"/>
    </row>
    <row r="15" spans="2:17" ht="13.5">
      <c r="B15" s="5"/>
      <c r="C15" s="2" t="s">
        <v>202</v>
      </c>
      <c r="D15" s="25">
        <v>17</v>
      </c>
      <c r="E15" s="25">
        <v>65.3</v>
      </c>
      <c r="F15" s="5"/>
      <c r="G15" s="5"/>
      <c r="H15" s="21">
        <f>D15/E15</f>
        <v>0.26033690658499237</v>
      </c>
      <c r="I15" s="21"/>
      <c r="J15" s="30">
        <f>O$12/2</f>
        <v>5</v>
      </c>
      <c r="K15" s="24"/>
      <c r="L15" s="43">
        <v>0.9825</v>
      </c>
      <c r="M15" s="27">
        <v>0.98</v>
      </c>
      <c r="N15" s="31">
        <f t="shared" si="3"/>
        <v>1.3519079118501967</v>
      </c>
      <c r="O15" s="36">
        <v>1.36</v>
      </c>
      <c r="P15" s="30">
        <f>N15-O15</f>
        <v>-0.008092088149803445</v>
      </c>
      <c r="Q15" s="80"/>
    </row>
    <row r="16" spans="2:17" ht="13.5">
      <c r="B16" s="98"/>
      <c r="C16" s="14" t="s">
        <v>176</v>
      </c>
      <c r="D16" s="5">
        <v>128.07</v>
      </c>
      <c r="E16" s="21">
        <f>D$5+F$5</f>
        <v>180.54</v>
      </c>
      <c r="F16" s="5"/>
      <c r="G16" s="5"/>
      <c r="H16" s="21">
        <f t="shared" si="0"/>
        <v>0.7093718843469591</v>
      </c>
      <c r="I16" s="21"/>
      <c r="J16" s="30">
        <f t="shared" si="2"/>
        <v>15.2</v>
      </c>
      <c r="K16" s="24"/>
      <c r="L16" s="32">
        <v>1.08</v>
      </c>
      <c r="M16" s="106">
        <f>1+(L16-1)*M$17/100</f>
        <v>1</v>
      </c>
      <c r="N16" s="31">
        <f t="shared" si="3"/>
        <v>9.983752446364608</v>
      </c>
      <c r="O16" s="12">
        <v>10</v>
      </c>
      <c r="P16" s="30">
        <f t="shared" si="1"/>
        <v>-0.016247553635391654</v>
      </c>
      <c r="Q16" s="80"/>
    </row>
    <row r="17" spans="2:17" ht="13.5">
      <c r="B17" s="98"/>
      <c r="C17" s="11"/>
      <c r="D17" s="34"/>
      <c r="E17" s="48"/>
      <c r="F17" s="34"/>
      <c r="G17" s="34"/>
      <c r="H17" s="48"/>
      <c r="I17" s="48"/>
      <c r="J17" s="30"/>
      <c r="K17" s="49"/>
      <c r="L17" s="103" t="s">
        <v>196</v>
      </c>
      <c r="M17" s="104">
        <v>0</v>
      </c>
      <c r="N17" s="105" t="s">
        <v>197</v>
      </c>
      <c r="O17" s="12"/>
      <c r="P17" s="30"/>
      <c r="Q17" s="80"/>
    </row>
    <row r="18" spans="2:17" ht="13.5">
      <c r="B18" s="5"/>
      <c r="C18" s="99" t="s">
        <v>173</v>
      </c>
      <c r="D18" s="5">
        <v>39.01</v>
      </c>
      <c r="E18" s="21">
        <f>D18+12.05+13.75</f>
        <v>64.81</v>
      </c>
      <c r="F18" s="5">
        <v>37.8</v>
      </c>
      <c r="G18" s="21">
        <f>F18+22.36</f>
        <v>60.16</v>
      </c>
      <c r="H18" s="21">
        <f t="shared" si="0"/>
        <v>0.6019132849868847</v>
      </c>
      <c r="I18" s="21">
        <f>F18/G18</f>
        <v>0.6283244680851063</v>
      </c>
      <c r="J18" s="30">
        <f>O$12/2</f>
        <v>5</v>
      </c>
      <c r="K18" s="24">
        <v>0.7</v>
      </c>
      <c r="L18" s="54">
        <v>1</v>
      </c>
      <c r="M18" s="27">
        <v>1</v>
      </c>
      <c r="N18" s="45">
        <f>(H18*K18+I18*(1-K18))*J18/L18/M18</f>
        <v>3.0491831995817558</v>
      </c>
      <c r="O18" s="12">
        <v>3.05</v>
      </c>
      <c r="P18" s="30">
        <f>N18-O13</f>
        <v>-0.0008168004182440569</v>
      </c>
      <c r="Q18" s="80"/>
    </row>
    <row r="19" spans="2:17" ht="13.5">
      <c r="B19" s="5"/>
      <c r="C19" s="2" t="s">
        <v>16</v>
      </c>
      <c r="D19" s="5">
        <v>12.05</v>
      </c>
      <c r="E19" s="21">
        <f>D19+13.75</f>
        <v>25.8</v>
      </c>
      <c r="F19" s="5"/>
      <c r="G19" s="5"/>
      <c r="H19" s="21">
        <f t="shared" si="0"/>
        <v>0.46705426356589147</v>
      </c>
      <c r="I19" s="21"/>
      <c r="J19" s="30">
        <f>O$12/2-O$13</f>
        <v>1.9500000000000002</v>
      </c>
      <c r="K19" s="24"/>
      <c r="L19" s="32">
        <v>1.005</v>
      </c>
      <c r="M19" s="27">
        <v>1</v>
      </c>
      <c r="N19" s="31">
        <f>(H19)*J19/L19/M19</f>
        <v>0.9062246905009836</v>
      </c>
      <c r="O19" s="12">
        <v>0.9</v>
      </c>
      <c r="P19" s="30">
        <f t="shared" si="1"/>
        <v>0.006224690500983621</v>
      </c>
      <c r="Q19" s="80"/>
    </row>
    <row r="20" spans="2:17" ht="13.5">
      <c r="B20" s="5"/>
      <c r="C20" s="2"/>
      <c r="D20" s="5"/>
      <c r="E20" s="21"/>
      <c r="F20" s="5"/>
      <c r="G20" s="5"/>
      <c r="H20" s="21"/>
      <c r="I20" s="21"/>
      <c r="J20" s="30"/>
      <c r="K20" s="24"/>
      <c r="L20" s="32"/>
      <c r="M20" s="27"/>
      <c r="N20" s="35"/>
      <c r="O20" s="12"/>
      <c r="P20" s="30"/>
      <c r="Q20" s="80"/>
    </row>
    <row r="21" spans="2:17" ht="13.5">
      <c r="B21" s="5"/>
      <c r="C21" s="2" t="s">
        <v>18</v>
      </c>
      <c r="D21" s="5">
        <v>5.23</v>
      </c>
      <c r="E21" s="21">
        <f>D$5+F$5</f>
        <v>180.54</v>
      </c>
      <c r="F21" s="5"/>
      <c r="G21" s="5"/>
      <c r="H21" s="21">
        <f aca="true" t="shared" si="4" ref="H21:H27">D21/E21</f>
        <v>0.028968649606735352</v>
      </c>
      <c r="I21" s="21"/>
      <c r="J21" s="30">
        <f>O$4</f>
        <v>15.2</v>
      </c>
      <c r="K21" s="24"/>
      <c r="L21" s="32">
        <v>1.052</v>
      </c>
      <c r="M21" s="27">
        <v>1</v>
      </c>
      <c r="N21" s="31">
        <f>(H21)*J21/L21/M21</f>
        <v>0.41855843538248794</v>
      </c>
      <c r="O21" s="12">
        <v>0.4</v>
      </c>
      <c r="P21" s="30">
        <f t="shared" si="1"/>
        <v>0.018558435382487914</v>
      </c>
      <c r="Q21" s="80"/>
    </row>
    <row r="22" spans="2:17" ht="13.5">
      <c r="B22" s="5"/>
      <c r="C22" s="2" t="s">
        <v>17</v>
      </c>
      <c r="D22" s="5">
        <v>4.76</v>
      </c>
      <c r="E22" s="25">
        <v>71.36</v>
      </c>
      <c r="F22" s="5"/>
      <c r="G22" s="5"/>
      <c r="H22" s="21">
        <f t="shared" si="4"/>
        <v>0.06670403587443946</v>
      </c>
      <c r="I22" s="21"/>
      <c r="J22" s="30">
        <f aca="true" t="shared" si="5" ref="J22:J27">O$4/2</f>
        <v>7.6</v>
      </c>
      <c r="K22" s="24"/>
      <c r="L22" s="46">
        <f>1.088/1.044</f>
        <v>1.042145593869732</v>
      </c>
      <c r="M22" s="27">
        <v>1</v>
      </c>
      <c r="N22" s="31">
        <f>(H22)*J22/L22/M22</f>
        <v>0.48644899103139005</v>
      </c>
      <c r="O22" s="12">
        <v>0.5</v>
      </c>
      <c r="P22" s="30">
        <f t="shared" si="1"/>
        <v>-0.013551008968609946</v>
      </c>
      <c r="Q22" s="80"/>
    </row>
    <row r="23" spans="2:17" ht="13.5">
      <c r="B23" s="5"/>
      <c r="C23" s="2" t="s">
        <v>178</v>
      </c>
      <c r="D23" s="5">
        <v>1.35</v>
      </c>
      <c r="E23" s="25">
        <v>30.7</v>
      </c>
      <c r="F23" s="5">
        <v>3.27</v>
      </c>
      <c r="G23" s="5">
        <v>97.76</v>
      </c>
      <c r="H23" s="21">
        <f t="shared" si="4"/>
        <v>0.04397394136807818</v>
      </c>
      <c r="I23" s="21">
        <f>F23/G23</f>
        <v>0.03344926350245499</v>
      </c>
      <c r="J23" s="30">
        <f t="shared" si="5"/>
        <v>7.6</v>
      </c>
      <c r="K23" s="24">
        <v>0.5</v>
      </c>
      <c r="L23" s="46">
        <f>1.108/1.054</f>
        <v>1.0512333965844403</v>
      </c>
      <c r="M23" s="27">
        <v>1</v>
      </c>
      <c r="N23" s="18">
        <f>(H23*K23+I23*(1-K23))*J23/L23/M23</f>
        <v>0.2798695127684652</v>
      </c>
      <c r="O23" s="12">
        <v>0.3</v>
      </c>
      <c r="P23" s="30">
        <f t="shared" si="1"/>
        <v>-0.020130487231534766</v>
      </c>
      <c r="Q23" s="80"/>
    </row>
    <row r="24" spans="2:17" ht="13.5">
      <c r="B24" s="5"/>
      <c r="C24" s="2" t="s">
        <v>19</v>
      </c>
      <c r="D24" s="5">
        <v>3.04</v>
      </c>
      <c r="E24" s="25">
        <v>55.39</v>
      </c>
      <c r="F24" s="5"/>
      <c r="G24" s="5"/>
      <c r="H24" s="21">
        <f t="shared" si="4"/>
        <v>0.054883552987903955</v>
      </c>
      <c r="I24" s="21"/>
      <c r="J24" s="30">
        <f t="shared" si="5"/>
        <v>7.6</v>
      </c>
      <c r="K24" s="24"/>
      <c r="L24" s="46">
        <f>1.104/1.054</f>
        <v>1.047438330170778</v>
      </c>
      <c r="M24" s="27">
        <v>1</v>
      </c>
      <c r="N24" s="31">
        <f aca="true" t="shared" si="6" ref="N24:N35">(H24)*J24/L24/M24</f>
        <v>0.39822392468687123</v>
      </c>
      <c r="O24" s="12">
        <v>0.4</v>
      </c>
      <c r="P24" s="30">
        <f t="shared" si="1"/>
        <v>-0.0017760753131287887</v>
      </c>
      <c r="Q24" s="80"/>
    </row>
    <row r="25" spans="2:17" ht="13.5">
      <c r="B25" s="5"/>
      <c r="C25" s="2" t="s">
        <v>67</v>
      </c>
      <c r="D25" s="5">
        <v>1.6</v>
      </c>
      <c r="E25" s="25">
        <v>21.02</v>
      </c>
      <c r="F25" s="5"/>
      <c r="G25" s="5"/>
      <c r="H25" s="21">
        <f t="shared" si="4"/>
        <v>0.07611798287345387</v>
      </c>
      <c r="I25" s="21"/>
      <c r="J25" s="30">
        <f t="shared" si="5"/>
        <v>7.6</v>
      </c>
      <c r="K25" s="24"/>
      <c r="L25" s="46">
        <f>1.1/1.055</f>
        <v>1.042654028436019</v>
      </c>
      <c r="M25" s="27">
        <v>1</v>
      </c>
      <c r="N25" s="31">
        <f t="shared" si="6"/>
        <v>0.55483089698123</v>
      </c>
      <c r="O25" s="12">
        <v>0.55</v>
      </c>
      <c r="P25" s="30">
        <f>N25-O25</f>
        <v>0.00483089698122996</v>
      </c>
      <c r="Q25" s="80"/>
    </row>
    <row r="26" spans="2:17" ht="13.5">
      <c r="B26" s="5"/>
      <c r="C26" s="2" t="s">
        <v>68</v>
      </c>
      <c r="D26" s="5">
        <v>6.42</v>
      </c>
      <c r="E26" s="25">
        <v>87.5</v>
      </c>
      <c r="F26" s="5"/>
      <c r="G26" s="5"/>
      <c r="H26" s="21">
        <f t="shared" si="4"/>
        <v>0.07337142857142857</v>
      </c>
      <c r="I26" s="21"/>
      <c r="J26" s="30">
        <f t="shared" si="5"/>
        <v>7.6</v>
      </c>
      <c r="K26" s="24"/>
      <c r="L26" s="46">
        <f>1.115/1.06</f>
        <v>1.0518867924528301</v>
      </c>
      <c r="M26" s="27">
        <v>1</v>
      </c>
      <c r="N26" s="31">
        <f t="shared" si="6"/>
        <v>0.530116796925048</v>
      </c>
      <c r="O26" s="12">
        <v>0.55</v>
      </c>
      <c r="P26" s="30">
        <f>N26-O26</f>
        <v>-0.01988320307495206</v>
      </c>
      <c r="Q26" s="80"/>
    </row>
    <row r="27" spans="2:17" ht="13.5">
      <c r="B27" s="5"/>
      <c r="C27" s="2" t="s">
        <v>22</v>
      </c>
      <c r="D27" s="5">
        <v>9.68</v>
      </c>
      <c r="E27" s="5">
        <v>55.32</v>
      </c>
      <c r="F27" s="5"/>
      <c r="G27" s="5"/>
      <c r="H27" s="21">
        <f t="shared" si="4"/>
        <v>0.1749819233550253</v>
      </c>
      <c r="I27" s="21"/>
      <c r="J27" s="30">
        <f t="shared" si="5"/>
        <v>7.6</v>
      </c>
      <c r="K27" s="24"/>
      <c r="L27" s="46">
        <f>1.092/1.059</f>
        <v>1.031161473087819</v>
      </c>
      <c r="M27" s="27">
        <v>1</v>
      </c>
      <c r="N27" s="31">
        <f t="shared" si="6"/>
        <v>1.289674461474895</v>
      </c>
      <c r="O27" s="12">
        <v>1.3</v>
      </c>
      <c r="P27" s="30">
        <f t="shared" si="1"/>
        <v>-0.010325538525105094</v>
      </c>
      <c r="Q27" s="81"/>
    </row>
    <row r="28" spans="2:17" ht="13.5">
      <c r="B28" s="5"/>
      <c r="C28" s="6" t="s">
        <v>69</v>
      </c>
      <c r="D28" s="5">
        <v>17.29</v>
      </c>
      <c r="E28" s="5">
        <v>17.91</v>
      </c>
      <c r="F28" s="5"/>
      <c r="G28" s="5"/>
      <c r="H28" s="21">
        <f aca="true" t="shared" si="7" ref="H28:H39">D28/E28</f>
        <v>0.9653824678950307</v>
      </c>
      <c r="I28" s="21"/>
      <c r="J28" s="30">
        <f>O$14</f>
        <v>1.36</v>
      </c>
      <c r="K28" s="24"/>
      <c r="L28" s="32">
        <v>1</v>
      </c>
      <c r="M28" s="27">
        <v>1</v>
      </c>
      <c r="N28" s="31">
        <f t="shared" si="6"/>
        <v>1.312920156337242</v>
      </c>
      <c r="O28" s="58">
        <v>1.3</v>
      </c>
      <c r="P28" s="30">
        <f t="shared" si="1"/>
        <v>0.012920156337241862</v>
      </c>
      <c r="Q28" s="81"/>
    </row>
    <row r="29" spans="2:17" ht="13.5">
      <c r="B29" s="5"/>
      <c r="C29" s="6" t="s">
        <v>70</v>
      </c>
      <c r="D29" s="5">
        <v>16.67</v>
      </c>
      <c r="E29" s="5">
        <v>17.43</v>
      </c>
      <c r="F29" s="5"/>
      <c r="G29" s="5"/>
      <c r="H29" s="21">
        <f>D29/E29</f>
        <v>0.9563970166379806</v>
      </c>
      <c r="I29" s="21"/>
      <c r="J29" s="30">
        <f>O$14</f>
        <v>1.36</v>
      </c>
      <c r="K29" s="24"/>
      <c r="L29" s="32">
        <v>1</v>
      </c>
      <c r="M29" s="27">
        <v>1</v>
      </c>
      <c r="N29" s="31">
        <f>(H29)*J29/L29/M29</f>
        <v>1.3006999426276538</v>
      </c>
      <c r="O29" s="36">
        <v>1.3</v>
      </c>
      <c r="P29" s="30">
        <f>N29-O29</f>
        <v>0.0006999426276537157</v>
      </c>
      <c r="Q29" s="81"/>
    </row>
    <row r="30" spans="2:17" ht="13.5">
      <c r="B30" s="5"/>
      <c r="C30" s="13" t="s">
        <v>43</v>
      </c>
      <c r="D30" s="5">
        <v>158.07</v>
      </c>
      <c r="E30" s="21">
        <f>D$5+F$5</f>
        <v>180.54</v>
      </c>
      <c r="F30" s="5"/>
      <c r="G30" s="5"/>
      <c r="H30" s="21">
        <f t="shared" si="7"/>
        <v>0.8755400465270854</v>
      </c>
      <c r="I30" s="21"/>
      <c r="J30" s="30">
        <f>O$4</f>
        <v>15.2</v>
      </c>
      <c r="K30" s="24"/>
      <c r="L30" s="32">
        <v>1.035</v>
      </c>
      <c r="M30" s="27">
        <v>1</v>
      </c>
      <c r="N30" s="31">
        <f t="shared" si="6"/>
        <v>12.858172663972656</v>
      </c>
      <c r="O30" s="58">
        <v>12.8</v>
      </c>
      <c r="P30" s="30">
        <f t="shared" si="1"/>
        <v>0.058172663972655414</v>
      </c>
      <c r="Q30" s="81"/>
    </row>
    <row r="31" spans="2:17" ht="13.5">
      <c r="B31" s="5"/>
      <c r="C31" s="50" t="s">
        <v>49</v>
      </c>
      <c r="D31" s="5">
        <v>25.65</v>
      </c>
      <c r="E31" s="21">
        <f>D$6</f>
        <v>11.86</v>
      </c>
      <c r="F31" s="5"/>
      <c r="G31" s="5"/>
      <c r="H31" s="21">
        <f t="shared" si="7"/>
        <v>2.1627318718381114</v>
      </c>
      <c r="I31" s="21"/>
      <c r="J31" s="30">
        <f>O$6</f>
        <v>0.86</v>
      </c>
      <c r="K31" s="24"/>
      <c r="L31" s="46">
        <f>1.037/L$6</f>
        <v>0.9857414448669201</v>
      </c>
      <c r="M31" s="27">
        <v>1</v>
      </c>
      <c r="N31" s="31">
        <f t="shared" si="6"/>
        <v>1.8868532103079811</v>
      </c>
      <c r="O31" s="36">
        <v>1.9</v>
      </c>
      <c r="P31" s="30">
        <f t="shared" si="1"/>
        <v>-0.013146789692018768</v>
      </c>
      <c r="Q31" s="81"/>
    </row>
    <row r="32" spans="2:17" ht="13.5">
      <c r="B32" s="5"/>
      <c r="C32" s="2" t="s">
        <v>29</v>
      </c>
      <c r="D32" s="5">
        <v>19.19</v>
      </c>
      <c r="E32" s="21">
        <f>D$6</f>
        <v>11.86</v>
      </c>
      <c r="F32" s="5"/>
      <c r="G32" s="5"/>
      <c r="H32" s="21">
        <f t="shared" si="7"/>
        <v>1.6180438448566612</v>
      </c>
      <c r="I32" s="21"/>
      <c r="J32" s="30">
        <f>O$6</f>
        <v>0.86</v>
      </c>
      <c r="K32" s="24"/>
      <c r="L32" s="46">
        <f>1.033/L$6</f>
        <v>0.9819391634980987</v>
      </c>
      <c r="M32" s="27">
        <v>1</v>
      </c>
      <c r="N32" s="31">
        <f t="shared" si="6"/>
        <v>1.4171119335127964</v>
      </c>
      <c r="O32" s="36">
        <v>1.4</v>
      </c>
      <c r="P32" s="30">
        <f t="shared" si="1"/>
        <v>0.017111933512796496</v>
      </c>
      <c r="Q32" s="81"/>
    </row>
    <row r="33" spans="2:17" ht="13.5">
      <c r="B33" s="5"/>
      <c r="C33" s="2" t="s">
        <v>132</v>
      </c>
      <c r="D33" s="5">
        <v>16.18</v>
      </c>
      <c r="E33" s="21">
        <f>E$24</f>
        <v>55.39</v>
      </c>
      <c r="F33" s="5"/>
      <c r="G33" s="5"/>
      <c r="H33" s="21">
        <f t="shared" si="7"/>
        <v>0.2921104892579888</v>
      </c>
      <c r="I33" s="21"/>
      <c r="J33" s="30">
        <f>O$4/2</f>
        <v>7.6</v>
      </c>
      <c r="K33" s="24"/>
      <c r="L33" s="46">
        <f>1.015/1.054</f>
        <v>0.9629981024667931</v>
      </c>
      <c r="M33" s="27">
        <v>1</v>
      </c>
      <c r="N33" s="31">
        <f t="shared" si="6"/>
        <v>2.305341737095757</v>
      </c>
      <c r="O33" s="36">
        <v>2.3</v>
      </c>
      <c r="P33" s="30">
        <f t="shared" si="1"/>
        <v>0.0053417370957573596</v>
      </c>
      <c r="Q33" s="81"/>
    </row>
    <row r="34" spans="2:17" ht="13.5">
      <c r="B34" s="5"/>
      <c r="C34" s="2" t="s">
        <v>134</v>
      </c>
      <c r="D34" s="5">
        <v>3.72</v>
      </c>
      <c r="E34" s="21">
        <f>E$24</f>
        <v>55.39</v>
      </c>
      <c r="F34" s="5"/>
      <c r="G34" s="5"/>
      <c r="H34" s="21">
        <f t="shared" si="7"/>
        <v>0.06716013720888248</v>
      </c>
      <c r="I34" s="21"/>
      <c r="J34" s="30">
        <f>O$4/2</f>
        <v>7.6</v>
      </c>
      <c r="K34" s="24"/>
      <c r="L34" s="46">
        <f>1.035/1.053</f>
        <v>0.9829059829059829</v>
      </c>
      <c r="M34" s="27">
        <v>1</v>
      </c>
      <c r="N34" s="31">
        <f t="shared" si="6"/>
        <v>0.5192938609229417</v>
      </c>
      <c r="O34" s="36">
        <v>0.55</v>
      </c>
      <c r="P34" s="30">
        <f t="shared" si="1"/>
        <v>-0.030706139077058325</v>
      </c>
      <c r="Q34" s="81"/>
    </row>
    <row r="35" spans="2:17" ht="13.5">
      <c r="B35" s="5"/>
      <c r="C35" s="2" t="s">
        <v>133</v>
      </c>
      <c r="D35" s="5">
        <v>7</v>
      </c>
      <c r="E35" s="21">
        <f>D$6</f>
        <v>11.86</v>
      </c>
      <c r="F35" s="5"/>
      <c r="G35" s="5"/>
      <c r="H35" s="21">
        <f t="shared" si="7"/>
        <v>0.5902192242833053</v>
      </c>
      <c r="I35" s="21"/>
      <c r="J35" s="30">
        <f>O$6</f>
        <v>0.86</v>
      </c>
      <c r="K35" s="24"/>
      <c r="L35" s="54">
        <v>1.035</v>
      </c>
      <c r="M35" s="27">
        <v>1</v>
      </c>
      <c r="N35" s="31">
        <f t="shared" si="6"/>
        <v>0.4904237032692199</v>
      </c>
      <c r="O35" s="36">
        <v>0.5</v>
      </c>
      <c r="P35" s="30">
        <f t="shared" si="1"/>
        <v>-0.009576296730780087</v>
      </c>
      <c r="Q35" s="81"/>
    </row>
    <row r="36" spans="2:17" ht="13.5">
      <c r="B36" s="5"/>
      <c r="C36" s="7" t="s">
        <v>48</v>
      </c>
      <c r="D36" s="5"/>
      <c r="E36" s="21"/>
      <c r="F36" s="5"/>
      <c r="G36" s="5"/>
      <c r="H36" s="21"/>
      <c r="I36" s="21"/>
      <c r="J36" s="30">
        <f>O$31+O$32</f>
        <v>3.3</v>
      </c>
      <c r="K36" s="24"/>
      <c r="L36" s="32"/>
      <c r="M36" s="27"/>
      <c r="N36" s="38">
        <f>J36</f>
        <v>3.3</v>
      </c>
      <c r="O36" s="58">
        <v>3.3</v>
      </c>
      <c r="P36" s="30">
        <f>N36-O36</f>
        <v>0</v>
      </c>
      <c r="Q36" s="81"/>
    </row>
    <row r="37" spans="2:17" ht="13.5">
      <c r="B37" s="5"/>
      <c r="C37" s="7" t="s">
        <v>179</v>
      </c>
      <c r="D37" s="25">
        <f>46.82</f>
        <v>46.82</v>
      </c>
      <c r="E37" s="21">
        <f>D$6</f>
        <v>11.86</v>
      </c>
      <c r="F37" s="5"/>
      <c r="G37" s="5"/>
      <c r="H37" s="21">
        <f>D37/E37</f>
        <v>3.9477234401349075</v>
      </c>
      <c r="I37" s="21"/>
      <c r="J37" s="30">
        <f>O$6</f>
        <v>0.86</v>
      </c>
      <c r="K37" s="24"/>
      <c r="L37" s="46">
        <f>1.043/L$6</f>
        <v>0.991444866920152</v>
      </c>
      <c r="M37" s="27">
        <v>1</v>
      </c>
      <c r="N37" s="38">
        <f>(H37)*J37/L37/M37-O$8</f>
        <v>3.3043378243133783</v>
      </c>
      <c r="O37" s="36">
        <v>3.3</v>
      </c>
      <c r="P37" s="30">
        <f>N37-O37</f>
        <v>0.00433782431337848</v>
      </c>
      <c r="Q37" s="81"/>
    </row>
    <row r="38" spans="2:17" ht="13.5">
      <c r="B38" s="5"/>
      <c r="C38" s="2" t="s">
        <v>30</v>
      </c>
      <c r="D38" s="5">
        <v>48.85</v>
      </c>
      <c r="E38" s="21">
        <f>D$6</f>
        <v>11.86</v>
      </c>
      <c r="F38" s="5"/>
      <c r="G38" s="5"/>
      <c r="H38" s="21">
        <f t="shared" si="7"/>
        <v>4.118887015177066</v>
      </c>
      <c r="I38" s="21"/>
      <c r="J38" s="30">
        <f>O$6</f>
        <v>0.86</v>
      </c>
      <c r="K38" s="24"/>
      <c r="L38" s="46">
        <f>1.0055/L$6</f>
        <v>0.9557984790874525</v>
      </c>
      <c r="M38" s="27">
        <v>1</v>
      </c>
      <c r="N38" s="38">
        <f>(H38)*J38/L38/M38-O$8</f>
        <v>3.586056151537538</v>
      </c>
      <c r="O38" s="36">
        <v>3.56</v>
      </c>
      <c r="P38" s="30">
        <f t="shared" si="1"/>
        <v>0.026056151537538152</v>
      </c>
      <c r="Q38" s="81"/>
    </row>
    <row r="39" spans="2:17" ht="13.5">
      <c r="B39" s="5"/>
      <c r="C39" s="2" t="s">
        <v>204</v>
      </c>
      <c r="D39" s="5">
        <v>22.66</v>
      </c>
      <c r="E39" s="21">
        <f>D$6</f>
        <v>11.86</v>
      </c>
      <c r="F39" s="5"/>
      <c r="G39" s="5"/>
      <c r="H39" s="21">
        <f t="shared" si="7"/>
        <v>1.9106239460370995</v>
      </c>
      <c r="I39" s="21"/>
      <c r="J39" s="30">
        <f>O$6</f>
        <v>0.86</v>
      </c>
      <c r="K39" s="24"/>
      <c r="L39" s="46">
        <f>1.07/L$6</f>
        <v>1.0171102661596958</v>
      </c>
      <c r="M39" s="27">
        <v>1</v>
      </c>
      <c r="N39" s="38">
        <f>(H39)*J39/L39/M39-O8</f>
        <v>1.4954950434193317</v>
      </c>
      <c r="O39" s="36">
        <v>1.5</v>
      </c>
      <c r="P39" s="30">
        <f t="shared" si="1"/>
        <v>-0.004504956580668296</v>
      </c>
      <c r="Q39" s="81"/>
    </row>
    <row r="40" spans="2:17" ht="13.5">
      <c r="B40" s="5"/>
      <c r="C40" s="2" t="s">
        <v>20</v>
      </c>
      <c r="D40" s="5"/>
      <c r="E40" s="5"/>
      <c r="F40" s="5"/>
      <c r="G40" s="5"/>
      <c r="H40" s="21"/>
      <c r="I40" s="21"/>
      <c r="J40" s="30">
        <f>O$36</f>
        <v>3.3</v>
      </c>
      <c r="K40" s="24"/>
      <c r="L40" s="32">
        <v>1</v>
      </c>
      <c r="M40" s="27">
        <v>1</v>
      </c>
      <c r="N40" s="37">
        <f>(J40-O$9)*SQRT(2)</f>
        <v>4.31335136523794</v>
      </c>
      <c r="O40" s="58">
        <v>4.31</v>
      </c>
      <c r="P40" s="30">
        <f t="shared" si="1"/>
        <v>0.003351365237940662</v>
      </c>
      <c r="Q40" s="81"/>
    </row>
    <row r="41" spans="2:17" ht="13.5">
      <c r="B41" s="5"/>
      <c r="C41" s="2" t="s">
        <v>23</v>
      </c>
      <c r="D41" s="5">
        <v>9.66</v>
      </c>
      <c r="E41" s="5">
        <v>54.15</v>
      </c>
      <c r="F41" s="5"/>
      <c r="G41" s="5"/>
      <c r="H41" s="21">
        <f>D41/E41</f>
        <v>0.17839335180055402</v>
      </c>
      <c r="I41" s="21"/>
      <c r="J41" s="30">
        <f>O$40</f>
        <v>4.31</v>
      </c>
      <c r="K41" s="24"/>
      <c r="L41" s="46">
        <f>1.053/1.07</f>
        <v>0.9841121495327102</v>
      </c>
      <c r="M41" s="27">
        <v>1</v>
      </c>
      <c r="N41" s="31">
        <f>(H41)*J41/L41/M41</f>
        <v>0.78128833855519</v>
      </c>
      <c r="O41" s="12">
        <v>0.78</v>
      </c>
      <c r="P41" s="30">
        <f t="shared" si="1"/>
        <v>0.0012883385551899496</v>
      </c>
      <c r="Q41" s="81"/>
    </row>
    <row r="42" spans="2:17" ht="13.5">
      <c r="B42" s="5"/>
      <c r="C42" s="2" t="s">
        <v>21</v>
      </c>
      <c r="D42" s="5">
        <v>7.39</v>
      </c>
      <c r="E42" s="5">
        <v>55.04</v>
      </c>
      <c r="F42" s="5"/>
      <c r="G42" s="5"/>
      <c r="H42" s="21">
        <f>D42/E42</f>
        <v>0.13426598837209303</v>
      </c>
      <c r="I42" s="21"/>
      <c r="J42" s="30">
        <f>O$40</f>
        <v>4.31</v>
      </c>
      <c r="K42" s="24"/>
      <c r="L42" s="46">
        <f>1.08/1.07</f>
        <v>1.0093457943925235</v>
      </c>
      <c r="M42" s="27">
        <v>1</v>
      </c>
      <c r="N42" s="31">
        <f>(H42)*J42/L42/M42</f>
        <v>0.5733282023847975</v>
      </c>
      <c r="O42" s="12">
        <v>0.57</v>
      </c>
      <c r="P42" s="30">
        <f t="shared" si="1"/>
        <v>0.003328202384797585</v>
      </c>
      <c r="Q42" s="81"/>
    </row>
    <row r="43" spans="2:17" ht="13.5">
      <c r="B43" s="5"/>
      <c r="C43" s="2" t="s">
        <v>27</v>
      </c>
      <c r="D43" s="5">
        <v>21.31</v>
      </c>
      <c r="E43" s="5">
        <v>55.04</v>
      </c>
      <c r="F43" s="5"/>
      <c r="G43" s="5"/>
      <c r="H43" s="21">
        <f>D43/E43</f>
        <v>0.3871729651162791</v>
      </c>
      <c r="I43" s="21"/>
      <c r="J43" s="30">
        <f>O$40</f>
        <v>4.31</v>
      </c>
      <c r="K43" s="24"/>
      <c r="L43" s="32">
        <v>0.995</v>
      </c>
      <c r="M43" s="27">
        <v>1</v>
      </c>
      <c r="N43" s="31">
        <f>(H43)*J43/L43/M43</f>
        <v>1.677100984574033</v>
      </c>
      <c r="O43" s="12">
        <v>1.68</v>
      </c>
      <c r="P43" s="30">
        <f t="shared" si="1"/>
        <v>-0.002899015425966933</v>
      </c>
      <c r="Q43" s="81"/>
    </row>
    <row r="44" spans="2:17" ht="13.5">
      <c r="B44" s="5"/>
      <c r="C44" s="2"/>
      <c r="D44" s="5"/>
      <c r="E44" s="5"/>
      <c r="F44" s="5"/>
      <c r="G44" s="5"/>
      <c r="H44" s="21"/>
      <c r="I44" s="21"/>
      <c r="J44" s="12"/>
      <c r="K44" s="24"/>
      <c r="L44" s="32"/>
      <c r="M44" s="27"/>
      <c r="N44" s="19"/>
      <c r="O44" s="12"/>
      <c r="P44" s="30"/>
      <c r="Q44" s="81"/>
    </row>
    <row r="45" spans="2:17" ht="13.5">
      <c r="B45" s="5"/>
      <c r="C45" s="2" t="s">
        <v>205</v>
      </c>
      <c r="D45" s="5">
        <v>51.64</v>
      </c>
      <c r="E45" s="21">
        <f>D$6</f>
        <v>11.86</v>
      </c>
      <c r="F45" s="5"/>
      <c r="G45" s="5"/>
      <c r="H45" s="21">
        <f>D45/E45</f>
        <v>4.354131534569984</v>
      </c>
      <c r="I45" s="21"/>
      <c r="J45" s="30">
        <f>O$6</f>
        <v>0.86</v>
      </c>
      <c r="K45" s="24"/>
      <c r="L45" s="32">
        <v>0.905</v>
      </c>
      <c r="M45" s="27">
        <v>1</v>
      </c>
      <c r="N45" s="38">
        <f>(H45)*J45/L45/M45-O$8</f>
        <v>4.01762775660794</v>
      </c>
      <c r="O45" s="12">
        <v>3.9</v>
      </c>
      <c r="P45" s="72">
        <f t="shared" si="1"/>
        <v>0.11762775660794</v>
      </c>
      <c r="Q45" s="81"/>
    </row>
    <row r="46" spans="2:17" ht="13.5">
      <c r="B46" s="5"/>
      <c r="C46" s="2" t="s">
        <v>207</v>
      </c>
      <c r="D46" s="5">
        <v>71.45</v>
      </c>
      <c r="E46" s="21">
        <f>E$24</f>
        <v>55.39</v>
      </c>
      <c r="F46" s="5"/>
      <c r="G46" s="5"/>
      <c r="H46" s="21">
        <f>D46/E46</f>
        <v>1.2899440332189926</v>
      </c>
      <c r="I46" s="21"/>
      <c r="J46" s="30">
        <f>O$4/2</f>
        <v>7.6</v>
      </c>
      <c r="K46" s="24"/>
      <c r="L46" s="32">
        <f>0.935/1.058</f>
        <v>0.8837429111531191</v>
      </c>
      <c r="M46" s="27">
        <v>1</v>
      </c>
      <c r="N46" s="38">
        <f>(H46)*J46/L46/M46-O$8</f>
        <v>10.973242761825963</v>
      </c>
      <c r="O46" s="12">
        <v>10.35</v>
      </c>
      <c r="P46" s="72">
        <f>N46-O46</f>
        <v>0.6232427618259635</v>
      </c>
      <c r="Q46" s="81"/>
    </row>
    <row r="47" spans="2:17" ht="13.5">
      <c r="B47" s="5"/>
      <c r="C47" s="2"/>
      <c r="D47" s="5"/>
      <c r="E47" s="5"/>
      <c r="F47" s="5"/>
      <c r="G47" s="5"/>
      <c r="H47" s="21"/>
      <c r="I47" s="21"/>
      <c r="J47" s="12"/>
      <c r="K47" s="24"/>
      <c r="L47" s="32"/>
      <c r="M47" s="27"/>
      <c r="N47" s="19"/>
      <c r="O47" s="12"/>
      <c r="P47" s="30"/>
      <c r="Q47" s="81"/>
    </row>
    <row r="48" spans="2:17" ht="13.5">
      <c r="B48" s="5"/>
      <c r="C48" s="2" t="s">
        <v>77</v>
      </c>
      <c r="D48" s="5">
        <v>1.71</v>
      </c>
      <c r="E48" s="21">
        <f>SUM(D$49:D$51)</f>
        <v>149.22</v>
      </c>
      <c r="F48" s="5"/>
      <c r="G48" s="5"/>
      <c r="H48" s="21">
        <f>D48/E48</f>
        <v>0.011459589867310011</v>
      </c>
      <c r="I48" s="21"/>
      <c r="J48" s="56">
        <v>14.3</v>
      </c>
      <c r="K48" s="24"/>
      <c r="L48" s="32">
        <v>0.83</v>
      </c>
      <c r="M48" s="17">
        <f>(0.57+0.57)/(0.57+0.62)</f>
        <v>0.9579831932773109</v>
      </c>
      <c r="N48" s="31">
        <f>(H48)*J48/L48/M48</f>
        <v>0.20609579451703078</v>
      </c>
      <c r="O48" s="12">
        <v>0.2</v>
      </c>
      <c r="P48" s="30">
        <f aca="true" t="shared" si="8" ref="P48:P57">N48-O48</f>
        <v>0.006095794517030767</v>
      </c>
      <c r="Q48" s="81" t="s">
        <v>81</v>
      </c>
    </row>
    <row r="49" spans="2:17" ht="13.5">
      <c r="B49" s="5"/>
      <c r="C49" s="2" t="s">
        <v>72</v>
      </c>
      <c r="D49" s="5">
        <v>43.33</v>
      </c>
      <c r="E49" s="21">
        <f>SUM(D$49:D$51)</f>
        <v>149.22</v>
      </c>
      <c r="F49" s="5"/>
      <c r="G49" s="5"/>
      <c r="H49" s="21">
        <f>D49/E49</f>
        <v>0.2903766251172765</v>
      </c>
      <c r="I49" s="21"/>
      <c r="J49" s="30">
        <f>J$48</f>
        <v>14.3</v>
      </c>
      <c r="K49" s="24"/>
      <c r="L49" s="32">
        <v>0.88</v>
      </c>
      <c r="M49" s="17">
        <f>(0.57+0.57)/(0.57+0.62)</f>
        <v>0.9579831932773109</v>
      </c>
      <c r="N49" s="31">
        <f>(H49)*J49/L49/M49</f>
        <v>4.9255771826362595</v>
      </c>
      <c r="O49" s="12">
        <v>5</v>
      </c>
      <c r="P49" s="30">
        <f t="shared" si="8"/>
        <v>-0.07442281736374046</v>
      </c>
      <c r="Q49" s="81" t="s">
        <v>80</v>
      </c>
    </row>
    <row r="50" spans="2:17" ht="13.5">
      <c r="B50" s="5"/>
      <c r="C50" s="2" t="s">
        <v>71</v>
      </c>
      <c r="D50" s="5">
        <v>5.72</v>
      </c>
      <c r="E50" s="21">
        <f>SUM(D$49:D$51)</f>
        <v>149.22</v>
      </c>
      <c r="F50" s="5"/>
      <c r="G50" s="5"/>
      <c r="H50" s="21">
        <f>D50/E50</f>
        <v>0.038332663181879105</v>
      </c>
      <c r="I50" s="21"/>
      <c r="J50" s="30">
        <f aca="true" t="shared" si="9" ref="J50:J56">J$48</f>
        <v>14.3</v>
      </c>
      <c r="K50" s="24"/>
      <c r="L50" s="32">
        <v>0.93</v>
      </c>
      <c r="M50" s="17">
        <f>(0.57+0.57)/(0.57+0.62)</f>
        <v>0.9579831932773109</v>
      </c>
      <c r="N50" s="31">
        <f>(H50)*J50/L50/M50</f>
        <v>0.6152678073627965</v>
      </c>
      <c r="O50" s="12">
        <v>0.5</v>
      </c>
      <c r="P50" s="30">
        <f t="shared" si="8"/>
        <v>0.11526780736279651</v>
      </c>
      <c r="Q50" s="81" t="s">
        <v>79</v>
      </c>
    </row>
    <row r="51" spans="2:17" ht="13.5">
      <c r="B51" s="5"/>
      <c r="C51" s="2" t="s">
        <v>51</v>
      </c>
      <c r="D51" s="5">
        <v>100.17</v>
      </c>
      <c r="E51" s="21">
        <f>SUM(D$49:D$51)</f>
        <v>149.22</v>
      </c>
      <c r="F51" s="5"/>
      <c r="G51" s="5"/>
      <c r="H51" s="21">
        <f>D51/E51</f>
        <v>0.6712907117008444</v>
      </c>
      <c r="I51" s="21"/>
      <c r="J51" s="30">
        <f t="shared" si="9"/>
        <v>14.3</v>
      </c>
      <c r="K51" s="24"/>
      <c r="L51" s="32">
        <v>1.07</v>
      </c>
      <c r="M51" s="17">
        <f>(0.57+0.62)/(0.57+0.62)</f>
        <v>1</v>
      </c>
      <c r="N51" s="31">
        <f>(H51)*J51/L51/M51</f>
        <v>8.971455305908481</v>
      </c>
      <c r="O51" s="12">
        <v>9</v>
      </c>
      <c r="P51" s="30">
        <f t="shared" si="8"/>
        <v>-0.028544694091518608</v>
      </c>
      <c r="Q51" s="81" t="s">
        <v>78</v>
      </c>
    </row>
    <row r="52" spans="2:17" ht="13.5">
      <c r="B52" s="5"/>
      <c r="C52" s="52" t="s">
        <v>82</v>
      </c>
      <c r="D52" s="5"/>
      <c r="E52" s="5"/>
      <c r="F52" s="5"/>
      <c r="G52" s="5"/>
      <c r="H52" s="21"/>
      <c r="I52" s="21"/>
      <c r="J52" s="40"/>
      <c r="K52" s="25"/>
      <c r="L52" s="32"/>
      <c r="M52" s="42"/>
      <c r="N52" s="51">
        <f>SUM(N$49:N$51)</f>
        <v>14.512300295907536</v>
      </c>
      <c r="O52" s="19">
        <f>SUM(O$49:O$51)</f>
        <v>14.5</v>
      </c>
      <c r="P52" s="30">
        <f>N52-O52</f>
        <v>0.012300295907536452</v>
      </c>
      <c r="Q52" s="81"/>
    </row>
    <row r="53" spans="2:17" ht="13.5">
      <c r="B53" s="5"/>
      <c r="C53" s="2" t="s">
        <v>87</v>
      </c>
      <c r="D53" s="5">
        <v>-0.42</v>
      </c>
      <c r="E53" s="21">
        <f>SUM(D$53:D$56)</f>
        <v>138.03</v>
      </c>
      <c r="F53" s="5"/>
      <c r="G53" s="5"/>
      <c r="H53" s="55">
        <f>D53/E53</f>
        <v>-0.003042816778961095</v>
      </c>
      <c r="I53" s="21"/>
      <c r="J53" s="30">
        <f t="shared" si="9"/>
        <v>14.3</v>
      </c>
      <c r="K53" s="24"/>
      <c r="L53" s="32">
        <v>0.875</v>
      </c>
      <c r="M53" s="17">
        <f>(0.496+0.496)/(0.496+0.62)</f>
        <v>0.8888888888888888</v>
      </c>
      <c r="N53" s="31">
        <f>(H53)*J53/L53/M53</f>
        <v>-0.055944359921756136</v>
      </c>
      <c r="O53" s="12">
        <v>-0.05</v>
      </c>
      <c r="P53" s="30">
        <f>N53-O53</f>
        <v>-0.005944359921756133</v>
      </c>
      <c r="Q53" s="81" t="s">
        <v>76</v>
      </c>
    </row>
    <row r="54" spans="2:17" ht="13.5">
      <c r="B54" s="5"/>
      <c r="C54" s="2" t="s">
        <v>88</v>
      </c>
      <c r="D54" s="5">
        <v>40.02</v>
      </c>
      <c r="E54" s="21">
        <f>SUM(D$53:D$56)</f>
        <v>138.03</v>
      </c>
      <c r="F54" s="5"/>
      <c r="G54" s="5"/>
      <c r="H54" s="21">
        <f>D54/E54</f>
        <v>0.2899369702238644</v>
      </c>
      <c r="I54" s="21"/>
      <c r="J54" s="30">
        <f t="shared" si="9"/>
        <v>14.3</v>
      </c>
      <c r="K54" s="24"/>
      <c r="L54" s="32">
        <v>0.9</v>
      </c>
      <c r="M54" s="17">
        <f>(0.496+0.53)/(0.496+0.62)</f>
        <v>0.9193548387096774</v>
      </c>
      <c r="N54" s="31">
        <f>(H54)*J54/L54/M54</f>
        <v>5.010879489288074</v>
      </c>
      <c r="O54" s="12">
        <v>5</v>
      </c>
      <c r="P54" s="30">
        <f>N54-O54</f>
        <v>0.01087948928807414</v>
      </c>
      <c r="Q54" s="81" t="s">
        <v>73</v>
      </c>
    </row>
    <row r="55" spans="2:17" ht="13.5">
      <c r="B55" s="5"/>
      <c r="C55" s="2" t="s">
        <v>89</v>
      </c>
      <c r="D55" s="5">
        <v>3.77</v>
      </c>
      <c r="E55" s="21">
        <f>SUM(D$53:D$56)</f>
        <v>138.03</v>
      </c>
      <c r="F55" s="5"/>
      <c r="G55" s="5"/>
      <c r="H55" s="21">
        <f>D55/E55</f>
        <v>0.027312902992103167</v>
      </c>
      <c r="I55" s="21"/>
      <c r="J55" s="30">
        <f t="shared" si="9"/>
        <v>14.3</v>
      </c>
      <c r="K55" s="24"/>
      <c r="L55" s="32">
        <v>0.925</v>
      </c>
      <c r="M55" s="17">
        <f>(0.53+0.53)/(0.496+0.62)</f>
        <v>0.9498207885304659</v>
      </c>
      <c r="N55" s="31">
        <f>(H55)*J55/L55/M55</f>
        <v>0.4445498789091036</v>
      </c>
      <c r="O55" s="12">
        <v>0.5</v>
      </c>
      <c r="P55" s="30">
        <f>N55-O55</f>
        <v>-0.05545012109089642</v>
      </c>
      <c r="Q55" s="81"/>
    </row>
    <row r="56" spans="2:17" ht="13.5">
      <c r="B56" s="5"/>
      <c r="C56" s="2" t="s">
        <v>75</v>
      </c>
      <c r="D56" s="5">
        <v>94.66</v>
      </c>
      <c r="E56" s="21">
        <f>SUM(D$53:D$56)</f>
        <v>138.03</v>
      </c>
      <c r="F56" s="5"/>
      <c r="G56" s="5"/>
      <c r="H56" s="21">
        <f>D56/E56</f>
        <v>0.6857929435629935</v>
      </c>
      <c r="I56" s="21"/>
      <c r="J56" s="30">
        <f t="shared" si="9"/>
        <v>14.3</v>
      </c>
      <c r="K56" s="24"/>
      <c r="L56" s="32">
        <v>1.05</v>
      </c>
      <c r="M56" s="17">
        <f>(0.53+0.62)/(0.496+0.62)</f>
        <v>1.0304659498207884</v>
      </c>
      <c r="N56" s="31">
        <f>(H56)*J56/L56/M56</f>
        <v>9.06371215547255</v>
      </c>
      <c r="O56" s="12">
        <v>9</v>
      </c>
      <c r="P56" s="30">
        <f>N56-O56</f>
        <v>0.06371215547254927</v>
      </c>
      <c r="Q56" s="81" t="s">
        <v>74</v>
      </c>
    </row>
    <row r="57" spans="2:17" ht="13.5">
      <c r="B57" s="5"/>
      <c r="C57" s="52" t="s">
        <v>83</v>
      </c>
      <c r="D57" s="5"/>
      <c r="E57" s="5"/>
      <c r="F57" s="5"/>
      <c r="G57" s="5"/>
      <c r="H57" s="21"/>
      <c r="I57" s="21"/>
      <c r="J57" s="30"/>
      <c r="K57" s="24"/>
      <c r="L57" s="32"/>
      <c r="M57" s="27"/>
      <c r="N57" s="51">
        <f>SUM(N$54:N$56)</f>
        <v>14.519141523669727</v>
      </c>
      <c r="O57" s="19">
        <f>SUM(O$54:O$56)</f>
        <v>14.5</v>
      </c>
      <c r="P57" s="72">
        <f t="shared" si="8"/>
        <v>0.019141523669727434</v>
      </c>
      <c r="Q57" s="81"/>
    </row>
    <row r="58" spans="2:17" ht="13.5">
      <c r="B58" s="5"/>
      <c r="C58" s="5"/>
      <c r="D58" s="5"/>
      <c r="E58" s="5"/>
      <c r="F58" s="5"/>
      <c r="G58" s="5"/>
      <c r="H58" s="21"/>
      <c r="I58" s="21"/>
      <c r="J58" s="40"/>
      <c r="K58" s="25"/>
      <c r="L58" s="32"/>
      <c r="M58" s="42"/>
      <c r="N58" s="41"/>
      <c r="O58" s="12"/>
      <c r="P58" s="30"/>
      <c r="Q58" s="81"/>
    </row>
    <row r="59" spans="2:17" ht="13.5">
      <c r="B59" s="5" t="s">
        <v>38</v>
      </c>
      <c r="C59" s="2" t="s">
        <v>40</v>
      </c>
      <c r="D59" s="25">
        <v>97.72</v>
      </c>
      <c r="E59" s="25">
        <v>41.57</v>
      </c>
      <c r="F59" s="25">
        <v>83.3</v>
      </c>
      <c r="G59" s="25">
        <v>39.11</v>
      </c>
      <c r="H59" s="21">
        <f aca="true" t="shared" si="10" ref="H59:H73">D59/E59</f>
        <v>2.3507337021890784</v>
      </c>
      <c r="I59" s="21">
        <f>F59/G59</f>
        <v>2.1298900536947074</v>
      </c>
      <c r="J59" s="30">
        <f>O$13*2</f>
        <v>6.1</v>
      </c>
      <c r="K59" s="24">
        <v>0.45</v>
      </c>
      <c r="L59" s="32">
        <v>1</v>
      </c>
      <c r="M59" s="27">
        <v>1</v>
      </c>
      <c r="N59" s="18">
        <f>(H59*K59+I59*(1-K59))*J59/L59/M59</f>
        <v>13.598545142654764</v>
      </c>
      <c r="O59" s="36">
        <v>13.5</v>
      </c>
      <c r="P59" s="72">
        <f aca="true" t="shared" si="11" ref="P59:P73">N59-O59</f>
        <v>0.0985451426547641</v>
      </c>
      <c r="Q59" s="80"/>
    </row>
    <row r="60" spans="2:17" ht="13.5">
      <c r="B60" s="5" t="s">
        <v>39</v>
      </c>
      <c r="C60" s="2" t="s">
        <v>98</v>
      </c>
      <c r="D60" s="21">
        <f>D$59</f>
        <v>97.72</v>
      </c>
      <c r="E60" s="25">
        <v>42.22</v>
      </c>
      <c r="F60" s="21">
        <f>F$59</f>
        <v>83.3</v>
      </c>
      <c r="G60" s="25">
        <v>39.42</v>
      </c>
      <c r="H60" s="21">
        <f t="shared" si="10"/>
        <v>2.3145428706774043</v>
      </c>
      <c r="I60" s="21">
        <f>F60/G60</f>
        <v>2.113140537798072</v>
      </c>
      <c r="J60" s="30">
        <f>O$13*2</f>
        <v>6.1</v>
      </c>
      <c r="K60" s="25">
        <v>0.45</v>
      </c>
      <c r="L60" s="32">
        <v>1</v>
      </c>
      <c r="M60" s="27">
        <v>1</v>
      </c>
      <c r="N60" s="18">
        <f>(H60*K60+I60*(1-K60))*J60/L60/M60</f>
        <v>13.443006684322006</v>
      </c>
      <c r="O60" s="58">
        <v>13.5</v>
      </c>
      <c r="P60" s="30">
        <f t="shared" si="11"/>
        <v>-0.05699331567799426</v>
      </c>
      <c r="Q60" s="81"/>
    </row>
    <row r="61" spans="2:17" ht="13.5">
      <c r="B61" s="5"/>
      <c r="C61" s="57" t="s">
        <v>96</v>
      </c>
      <c r="D61" s="21">
        <f>E$60</f>
        <v>42.22</v>
      </c>
      <c r="E61" s="21">
        <f>D$59</f>
        <v>97.72</v>
      </c>
      <c r="F61" s="21"/>
      <c r="G61" s="25"/>
      <c r="H61" s="21">
        <f t="shared" si="10"/>
        <v>0.43205075726565695</v>
      </c>
      <c r="I61" s="21"/>
      <c r="J61" s="30">
        <f>O$60/2</f>
        <v>6.75</v>
      </c>
      <c r="K61" s="25"/>
      <c r="L61" s="32">
        <f>1.025/1.054</f>
        <v>0.9724857685009486</v>
      </c>
      <c r="M61" s="27">
        <v>0.98</v>
      </c>
      <c r="N61" s="31">
        <f aca="true" t="shared" si="12" ref="N61:N73">(H61)*J61/L61/M61</f>
        <v>3.0600548656709976</v>
      </c>
      <c r="O61" s="36">
        <v>3.05</v>
      </c>
      <c r="P61" s="30">
        <f t="shared" si="11"/>
        <v>0.010054865670997781</v>
      </c>
      <c r="Q61" s="81"/>
    </row>
    <row r="62" spans="2:17" ht="13.5">
      <c r="B62" s="5"/>
      <c r="C62" s="57" t="s">
        <v>97</v>
      </c>
      <c r="D62" s="21">
        <f>G$60</f>
        <v>39.42</v>
      </c>
      <c r="E62" s="21">
        <f>F$60</f>
        <v>83.3</v>
      </c>
      <c r="F62" s="21"/>
      <c r="G62" s="25"/>
      <c r="H62" s="21">
        <f t="shared" si="10"/>
        <v>0.4732292917166867</v>
      </c>
      <c r="I62" s="21"/>
      <c r="J62" s="30">
        <f>O$60/2</f>
        <v>6.75</v>
      </c>
      <c r="K62" s="25"/>
      <c r="L62" s="32">
        <f>0.978/0.953</f>
        <v>1.0262329485834207</v>
      </c>
      <c r="M62" s="27">
        <v>1.02</v>
      </c>
      <c r="N62" s="31">
        <f t="shared" si="12"/>
        <v>3.051611658737837</v>
      </c>
      <c r="O62" s="36">
        <v>3.05</v>
      </c>
      <c r="P62" s="30">
        <f t="shared" si="11"/>
        <v>0.001611658737837196</v>
      </c>
      <c r="Q62" s="81"/>
    </row>
    <row r="63" spans="2:17" ht="13.5">
      <c r="B63" s="5"/>
      <c r="C63" s="2" t="s">
        <v>99</v>
      </c>
      <c r="D63" s="25">
        <v>42.12</v>
      </c>
      <c r="E63" s="21">
        <f>D$59</f>
        <v>97.72</v>
      </c>
      <c r="F63" s="21"/>
      <c r="G63" s="25"/>
      <c r="H63" s="21">
        <f t="shared" si="10"/>
        <v>0.43102742529676624</v>
      </c>
      <c r="I63" s="21"/>
      <c r="J63" s="30">
        <f>O$60/2</f>
        <v>6.75</v>
      </c>
      <c r="K63" s="25"/>
      <c r="L63" s="32">
        <f>1.025/1.054</f>
        <v>0.9724857685009486</v>
      </c>
      <c r="M63" s="27">
        <v>0.98</v>
      </c>
      <c r="N63" s="31">
        <f t="shared" si="12"/>
        <v>3.052806985837575</v>
      </c>
      <c r="O63" s="36">
        <v>3.05</v>
      </c>
      <c r="P63" s="30">
        <f t="shared" si="11"/>
        <v>0.0028069858375752155</v>
      </c>
      <c r="Q63" s="81"/>
    </row>
    <row r="64" spans="2:17" ht="13.5">
      <c r="B64" s="5"/>
      <c r="C64" s="2" t="s">
        <v>100</v>
      </c>
      <c r="D64" s="25">
        <v>38.94</v>
      </c>
      <c r="E64" s="21">
        <f>F$60</f>
        <v>83.3</v>
      </c>
      <c r="F64" s="21"/>
      <c r="G64" s="25"/>
      <c r="H64" s="21">
        <f t="shared" si="10"/>
        <v>0.4674669867947179</v>
      </c>
      <c r="I64" s="21"/>
      <c r="J64" s="30">
        <f>O$60/2</f>
        <v>6.75</v>
      </c>
      <c r="K64" s="25"/>
      <c r="L64" s="32">
        <f>0.978/0.953</f>
        <v>1.0262329485834207</v>
      </c>
      <c r="M64" s="27">
        <v>1.02</v>
      </c>
      <c r="N64" s="31">
        <f t="shared" si="12"/>
        <v>3.014453525906934</v>
      </c>
      <c r="O64" s="36">
        <v>3.05</v>
      </c>
      <c r="P64" s="30">
        <f t="shared" si="11"/>
        <v>-0.03554647409306577</v>
      </c>
      <c r="Q64" s="81"/>
    </row>
    <row r="65" spans="2:17" ht="13.5">
      <c r="B65" s="5"/>
      <c r="C65" s="2" t="s">
        <v>52</v>
      </c>
      <c r="D65" s="21">
        <f>D$59</f>
        <v>97.72</v>
      </c>
      <c r="E65" s="21">
        <f>E$60</f>
        <v>42.22</v>
      </c>
      <c r="F65" s="21"/>
      <c r="G65" s="21"/>
      <c r="H65" s="21">
        <f t="shared" si="10"/>
        <v>2.3145428706774043</v>
      </c>
      <c r="I65" s="21"/>
      <c r="J65" s="30">
        <f>O$13</f>
        <v>3.05</v>
      </c>
      <c r="K65" s="25"/>
      <c r="L65" s="46">
        <f>105.4/102.5</f>
        <v>1.0282926829268293</v>
      </c>
      <c r="M65" s="27">
        <v>1.02</v>
      </c>
      <c r="N65" s="31">
        <f t="shared" si="12"/>
        <v>6.730512752032625</v>
      </c>
      <c r="O65" s="30">
        <f>O$60/2</f>
        <v>6.75</v>
      </c>
      <c r="P65" s="30">
        <f t="shared" si="11"/>
        <v>-0.019487247967375332</v>
      </c>
      <c r="Q65" s="81"/>
    </row>
    <row r="66" spans="2:17" ht="14.25" thickBot="1">
      <c r="B66" s="5"/>
      <c r="C66" s="2" t="s">
        <v>109</v>
      </c>
      <c r="D66" s="21">
        <f>F$59</f>
        <v>83.3</v>
      </c>
      <c r="E66" s="21">
        <f>G$60</f>
        <v>39.42</v>
      </c>
      <c r="F66" s="21"/>
      <c r="G66" s="21"/>
      <c r="H66" s="21">
        <f t="shared" si="10"/>
        <v>2.113140537798072</v>
      </c>
      <c r="I66" s="21"/>
      <c r="J66" s="30">
        <f>O$13</f>
        <v>3.05</v>
      </c>
      <c r="K66" s="25"/>
      <c r="L66" s="46">
        <f>95.7/97.8</f>
        <v>0.9785276073619632</v>
      </c>
      <c r="M66" s="27">
        <v>0.98</v>
      </c>
      <c r="N66" s="59">
        <f t="shared" si="12"/>
        <v>6.720925202266722</v>
      </c>
      <c r="O66" s="30">
        <f>O$60/2</f>
        <v>6.75</v>
      </c>
      <c r="P66" s="30">
        <f t="shared" si="11"/>
        <v>-0.029074797733278146</v>
      </c>
      <c r="Q66" s="81"/>
    </row>
    <row r="67" spans="2:17" ht="14.25" thickTop="1">
      <c r="B67" s="5"/>
      <c r="C67" s="6" t="s">
        <v>180</v>
      </c>
      <c r="D67" s="25">
        <v>34.09</v>
      </c>
      <c r="E67" s="25">
        <v>181.02</v>
      </c>
      <c r="F67" s="21"/>
      <c r="G67" s="21"/>
      <c r="H67" s="21">
        <f t="shared" si="10"/>
        <v>0.1883217324052591</v>
      </c>
      <c r="I67" s="21"/>
      <c r="J67" s="30">
        <f>O$60</f>
        <v>13.5</v>
      </c>
      <c r="K67" s="25"/>
      <c r="L67" s="54">
        <v>1.089</v>
      </c>
      <c r="M67" s="60">
        <v>1.06</v>
      </c>
      <c r="N67" s="61">
        <f t="shared" si="12"/>
        <v>2.2024216326827433</v>
      </c>
      <c r="O67" s="95">
        <v>2.24</v>
      </c>
      <c r="P67" s="73">
        <f t="shared" si="11"/>
        <v>-0.037578367317256944</v>
      </c>
      <c r="Q67" s="81"/>
    </row>
    <row r="68" spans="2:17" ht="13.5">
      <c r="B68" s="5"/>
      <c r="C68" s="6" t="s">
        <v>183</v>
      </c>
      <c r="D68" s="25">
        <v>38.01</v>
      </c>
      <c r="E68" s="21">
        <f aca="true" t="shared" si="13" ref="E68:E94">E$67</f>
        <v>181.02</v>
      </c>
      <c r="F68" s="21"/>
      <c r="G68" s="21"/>
      <c r="H68" s="21">
        <f t="shared" si="10"/>
        <v>0.20997679814385148</v>
      </c>
      <c r="I68" s="21"/>
      <c r="J68" s="30">
        <f aca="true" t="shared" si="14" ref="J68:J73">O$60</f>
        <v>13.5</v>
      </c>
      <c r="K68" s="25"/>
      <c r="L68" s="54">
        <v>1.047</v>
      </c>
      <c r="M68" s="60">
        <v>1.035</v>
      </c>
      <c r="N68" s="62">
        <f t="shared" si="12"/>
        <v>2.6158813771502616</v>
      </c>
      <c r="O68" s="63">
        <v>2.6</v>
      </c>
      <c r="P68" s="73">
        <f t="shared" si="11"/>
        <v>0.0158813771502615</v>
      </c>
      <c r="Q68" s="97" t="s">
        <v>169</v>
      </c>
    </row>
    <row r="69" spans="2:17" ht="13.5">
      <c r="B69" s="5"/>
      <c r="C69" s="6" t="s">
        <v>184</v>
      </c>
      <c r="D69" s="25">
        <v>10.84</v>
      </c>
      <c r="E69" s="21">
        <f t="shared" si="13"/>
        <v>181.02</v>
      </c>
      <c r="F69" s="21"/>
      <c r="G69" s="21"/>
      <c r="H69" s="21">
        <f t="shared" si="10"/>
        <v>0.05988288586896475</v>
      </c>
      <c r="I69" s="21"/>
      <c r="J69" s="30">
        <f t="shared" si="14"/>
        <v>13.5</v>
      </c>
      <c r="K69" s="25"/>
      <c r="L69" s="54">
        <v>1.023</v>
      </c>
      <c r="M69" s="60">
        <v>1.015</v>
      </c>
      <c r="N69" s="62">
        <f t="shared" si="12"/>
        <v>0.7785648885784824</v>
      </c>
      <c r="O69" s="63">
        <v>0.78</v>
      </c>
      <c r="P69" s="73">
        <f t="shared" si="11"/>
        <v>-0.001435111421517643</v>
      </c>
      <c r="Q69" s="108">
        <f>O68-(O69-O71)+O69</f>
        <v>3.05</v>
      </c>
    </row>
    <row r="70" spans="2:17" ht="13.5">
      <c r="B70" s="5"/>
      <c r="C70" s="6" t="s">
        <v>185</v>
      </c>
      <c r="D70" s="25">
        <v>34.51</v>
      </c>
      <c r="E70" s="21">
        <f t="shared" si="13"/>
        <v>181.02</v>
      </c>
      <c r="F70" s="21"/>
      <c r="G70" s="21"/>
      <c r="H70" s="21">
        <f t="shared" si="10"/>
        <v>0.19064191802010824</v>
      </c>
      <c r="I70" s="21"/>
      <c r="J70" s="30">
        <f t="shared" si="14"/>
        <v>13.5</v>
      </c>
      <c r="K70" s="25"/>
      <c r="L70" s="54">
        <v>0.997</v>
      </c>
      <c r="M70" s="60">
        <v>0.998</v>
      </c>
      <c r="N70" s="62">
        <f t="shared" si="12"/>
        <v>2.586583290222834</v>
      </c>
      <c r="O70" s="63">
        <v>2.6</v>
      </c>
      <c r="P70" s="73">
        <f t="shared" si="11"/>
        <v>-0.013416709777166247</v>
      </c>
      <c r="Q70" s="81"/>
    </row>
    <row r="71" spans="2:17" ht="13.5">
      <c r="B71" s="5"/>
      <c r="C71" s="6" t="s">
        <v>186</v>
      </c>
      <c r="D71" s="25">
        <v>5.9</v>
      </c>
      <c r="E71" s="21">
        <f t="shared" si="13"/>
        <v>181.02</v>
      </c>
      <c r="F71" s="21"/>
      <c r="G71" s="21"/>
      <c r="H71" s="21">
        <f t="shared" si="10"/>
        <v>0.03259308363716716</v>
      </c>
      <c r="I71" s="21"/>
      <c r="J71" s="30">
        <f>O$60</f>
        <v>13.5</v>
      </c>
      <c r="K71" s="25"/>
      <c r="L71" s="54">
        <v>0.975</v>
      </c>
      <c r="M71" s="60">
        <v>0.985</v>
      </c>
      <c r="N71" s="62">
        <f t="shared" si="12"/>
        <v>0.45816126940180313</v>
      </c>
      <c r="O71" s="63">
        <v>0.45</v>
      </c>
      <c r="P71" s="73">
        <f>N71-O71</f>
        <v>0.008161269401803117</v>
      </c>
      <c r="Q71" s="81"/>
    </row>
    <row r="72" spans="2:17" ht="13.5">
      <c r="B72" s="5"/>
      <c r="C72" s="6" t="s">
        <v>187</v>
      </c>
      <c r="D72" s="25">
        <v>31.76</v>
      </c>
      <c r="E72" s="21">
        <f t="shared" si="13"/>
        <v>181.02</v>
      </c>
      <c r="F72" s="21"/>
      <c r="G72" s="21"/>
      <c r="H72" s="21">
        <f t="shared" si="10"/>
        <v>0.17545022649431002</v>
      </c>
      <c r="I72" s="21"/>
      <c r="J72" s="30">
        <f>O$60</f>
        <v>13.5</v>
      </c>
      <c r="K72" s="25"/>
      <c r="L72" s="54">
        <v>0.954</v>
      </c>
      <c r="M72" s="60">
        <v>0.965</v>
      </c>
      <c r="N72" s="62">
        <f t="shared" si="12"/>
        <v>2.572835465260192</v>
      </c>
      <c r="O72" s="63">
        <v>2.6</v>
      </c>
      <c r="P72" s="73">
        <f>N72-O72</f>
        <v>-0.027164534739807955</v>
      </c>
      <c r="Q72" s="81"/>
    </row>
    <row r="73" spans="2:17" ht="14.25" thickBot="1">
      <c r="B73" s="5"/>
      <c r="C73" s="6" t="s">
        <v>188</v>
      </c>
      <c r="D73" s="25">
        <v>25.91</v>
      </c>
      <c r="E73" s="21">
        <f t="shared" si="13"/>
        <v>181.02</v>
      </c>
      <c r="F73" s="21"/>
      <c r="G73" s="21"/>
      <c r="H73" s="21">
        <f t="shared" si="10"/>
        <v>0.14313335543033917</v>
      </c>
      <c r="I73" s="21"/>
      <c r="J73" s="30">
        <f t="shared" si="14"/>
        <v>13.5</v>
      </c>
      <c r="K73" s="25"/>
      <c r="L73" s="54">
        <v>0.9215</v>
      </c>
      <c r="M73" s="60">
        <v>0.945</v>
      </c>
      <c r="N73" s="64">
        <f t="shared" si="12"/>
        <v>2.218949778006963</v>
      </c>
      <c r="O73" s="96">
        <v>2.24</v>
      </c>
      <c r="P73" s="73">
        <f t="shared" si="11"/>
        <v>-0.021050221993037077</v>
      </c>
      <c r="Q73" s="81"/>
    </row>
    <row r="74" spans="2:17" ht="15" thickBot="1" thickTop="1">
      <c r="B74" s="5"/>
      <c r="C74" s="6" t="s">
        <v>189</v>
      </c>
      <c r="D74" s="25"/>
      <c r="E74" s="21"/>
      <c r="F74" s="21"/>
      <c r="G74" s="21"/>
      <c r="H74" s="21"/>
      <c r="I74" s="21"/>
      <c r="J74" s="30"/>
      <c r="K74" s="25"/>
      <c r="L74" s="54"/>
      <c r="M74" s="27"/>
      <c r="N74" s="86">
        <f>SUM(N67:N73)</f>
        <v>13.433397701303278</v>
      </c>
      <c r="O74" s="78">
        <f>SUM(O67:O73)</f>
        <v>13.51</v>
      </c>
      <c r="P74" s="30"/>
      <c r="Q74" s="81"/>
    </row>
    <row r="75" spans="2:17" ht="14.25" thickTop="1">
      <c r="B75" s="5"/>
      <c r="C75" s="107" t="s">
        <v>190</v>
      </c>
      <c r="D75" s="25">
        <v>34.09</v>
      </c>
      <c r="E75" s="25">
        <v>181.02</v>
      </c>
      <c r="F75" s="21"/>
      <c r="G75" s="21"/>
      <c r="H75" s="21">
        <f aca="true" t="shared" si="15" ref="H75:H81">D75/E75</f>
        <v>0.1883217324052591</v>
      </c>
      <c r="I75" s="21"/>
      <c r="J75" s="30">
        <f aca="true" t="shared" si="16" ref="J75:J81">O$60</f>
        <v>13.5</v>
      </c>
      <c r="K75" s="25"/>
      <c r="L75" s="54">
        <v>1.089</v>
      </c>
      <c r="M75" s="60">
        <v>1.06</v>
      </c>
      <c r="N75" s="61">
        <f aca="true" t="shared" si="17" ref="N75:N81">(H75)*J75/L75/M75</f>
        <v>2.2024216326827433</v>
      </c>
      <c r="O75" s="95">
        <v>2.25</v>
      </c>
      <c r="P75" s="73">
        <f aca="true" t="shared" si="18" ref="P75:P81">N75-O75</f>
        <v>-0.04757836731725673</v>
      </c>
      <c r="Q75" s="81"/>
    </row>
    <row r="76" spans="2:17" ht="13.5">
      <c r="B76" s="5"/>
      <c r="C76" s="107" t="s">
        <v>181</v>
      </c>
      <c r="D76" s="25">
        <v>38.01</v>
      </c>
      <c r="E76" s="21">
        <f t="shared" si="13"/>
        <v>181.02</v>
      </c>
      <c r="F76" s="21"/>
      <c r="G76" s="21"/>
      <c r="H76" s="21">
        <f t="shared" si="15"/>
        <v>0.20997679814385148</v>
      </c>
      <c r="I76" s="21"/>
      <c r="J76" s="30">
        <f t="shared" si="16"/>
        <v>13.5</v>
      </c>
      <c r="K76" s="25"/>
      <c r="L76" s="54">
        <v>1.047</v>
      </c>
      <c r="M76" s="60">
        <v>1.035</v>
      </c>
      <c r="N76" s="62">
        <f t="shared" si="17"/>
        <v>2.6158813771502616</v>
      </c>
      <c r="O76" s="63">
        <v>2.65</v>
      </c>
      <c r="P76" s="73">
        <f t="shared" si="18"/>
        <v>-0.03411862284973832</v>
      </c>
      <c r="Q76" s="97" t="s">
        <v>169</v>
      </c>
    </row>
    <row r="77" spans="2:17" ht="13.5">
      <c r="B77" s="5"/>
      <c r="C77" s="107" t="s">
        <v>182</v>
      </c>
      <c r="D77" s="25">
        <v>10.84</v>
      </c>
      <c r="E77" s="21">
        <f t="shared" si="13"/>
        <v>181.02</v>
      </c>
      <c r="F77" s="21"/>
      <c r="G77" s="21"/>
      <c r="H77" s="21">
        <f t="shared" si="15"/>
        <v>0.05988288586896475</v>
      </c>
      <c r="I77" s="21"/>
      <c r="J77" s="30">
        <f t="shared" si="16"/>
        <v>13.5</v>
      </c>
      <c r="K77" s="25"/>
      <c r="L77" s="54">
        <v>1.023</v>
      </c>
      <c r="M77" s="60">
        <v>1.015</v>
      </c>
      <c r="N77" s="62">
        <f t="shared" si="17"/>
        <v>0.7785648885784824</v>
      </c>
      <c r="O77" s="63">
        <v>0.8</v>
      </c>
      <c r="P77" s="73">
        <f t="shared" si="18"/>
        <v>-0.02143511142151766</v>
      </c>
      <c r="Q77" s="101">
        <f>O76-(O77-O79)+O77</f>
        <v>3.0999999999999996</v>
      </c>
    </row>
    <row r="78" spans="2:17" ht="13.5">
      <c r="B78" s="5"/>
      <c r="C78" s="107" t="s">
        <v>191</v>
      </c>
      <c r="D78" s="25">
        <v>34.51</v>
      </c>
      <c r="E78" s="21">
        <f t="shared" si="13"/>
        <v>181.02</v>
      </c>
      <c r="F78" s="21"/>
      <c r="G78" s="21"/>
      <c r="H78" s="21">
        <f t="shared" si="15"/>
        <v>0.19064191802010824</v>
      </c>
      <c r="I78" s="21"/>
      <c r="J78" s="30">
        <f t="shared" si="16"/>
        <v>13.5</v>
      </c>
      <c r="K78" s="25"/>
      <c r="L78" s="54">
        <v>0.997</v>
      </c>
      <c r="M78" s="60">
        <v>0.998</v>
      </c>
      <c r="N78" s="62">
        <f t="shared" si="17"/>
        <v>2.586583290222834</v>
      </c>
      <c r="O78" s="63">
        <v>2.65</v>
      </c>
      <c r="P78" s="73">
        <f t="shared" si="18"/>
        <v>-0.06341670977716607</v>
      </c>
      <c r="Q78" s="81"/>
    </row>
    <row r="79" spans="2:17" ht="13.5">
      <c r="B79" s="5"/>
      <c r="C79" s="107" t="s">
        <v>192</v>
      </c>
      <c r="D79" s="25">
        <v>5.9</v>
      </c>
      <c r="E79" s="21">
        <f t="shared" si="13"/>
        <v>181.02</v>
      </c>
      <c r="F79" s="21"/>
      <c r="G79" s="21"/>
      <c r="H79" s="21">
        <f t="shared" si="15"/>
        <v>0.03259308363716716</v>
      </c>
      <c r="I79" s="21"/>
      <c r="J79" s="30">
        <f t="shared" si="16"/>
        <v>13.5</v>
      </c>
      <c r="K79" s="25"/>
      <c r="L79" s="54">
        <v>0.975</v>
      </c>
      <c r="M79" s="60">
        <v>0.985</v>
      </c>
      <c r="N79" s="62">
        <f t="shared" si="17"/>
        <v>0.45816126940180313</v>
      </c>
      <c r="O79" s="63">
        <v>0.45</v>
      </c>
      <c r="P79" s="73">
        <f t="shared" si="18"/>
        <v>0.008161269401803117</v>
      </c>
      <c r="Q79" s="81"/>
    </row>
    <row r="80" spans="2:17" ht="13.5">
      <c r="B80" s="5"/>
      <c r="C80" s="107" t="s">
        <v>193</v>
      </c>
      <c r="D80" s="25">
        <v>31.76</v>
      </c>
      <c r="E80" s="21">
        <f t="shared" si="13"/>
        <v>181.02</v>
      </c>
      <c r="F80" s="21"/>
      <c r="G80" s="21"/>
      <c r="H80" s="21">
        <f t="shared" si="15"/>
        <v>0.17545022649431002</v>
      </c>
      <c r="I80" s="21"/>
      <c r="J80" s="30">
        <f t="shared" si="16"/>
        <v>13.5</v>
      </c>
      <c r="K80" s="25"/>
      <c r="L80" s="54">
        <v>0.954</v>
      </c>
      <c r="M80" s="60">
        <v>0.965</v>
      </c>
      <c r="N80" s="62">
        <f t="shared" si="17"/>
        <v>2.572835465260192</v>
      </c>
      <c r="O80" s="63">
        <v>2.65</v>
      </c>
      <c r="P80" s="73">
        <f t="shared" si="18"/>
        <v>-0.07716453473980778</v>
      </c>
      <c r="Q80" s="81"/>
    </row>
    <row r="81" spans="2:17" ht="14.25" thickBot="1">
      <c r="B81" s="5"/>
      <c r="C81" s="107" t="s">
        <v>194</v>
      </c>
      <c r="D81" s="25">
        <v>25.91</v>
      </c>
      <c r="E81" s="21">
        <f t="shared" si="13"/>
        <v>181.02</v>
      </c>
      <c r="F81" s="21"/>
      <c r="G81" s="21"/>
      <c r="H81" s="21">
        <f t="shared" si="15"/>
        <v>0.14313335543033917</v>
      </c>
      <c r="I81" s="21"/>
      <c r="J81" s="30">
        <f t="shared" si="16"/>
        <v>13.5</v>
      </c>
      <c r="K81" s="25"/>
      <c r="L81" s="54">
        <v>0.9215</v>
      </c>
      <c r="M81" s="60">
        <v>0.945</v>
      </c>
      <c r="N81" s="64">
        <f t="shared" si="17"/>
        <v>2.218949778006963</v>
      </c>
      <c r="O81" s="96">
        <v>2.25</v>
      </c>
      <c r="P81" s="73">
        <f t="shared" si="18"/>
        <v>-0.031050221993036864</v>
      </c>
      <c r="Q81" s="81"/>
    </row>
    <row r="82" spans="2:17" ht="15" thickBot="1" thickTop="1">
      <c r="B82" s="5"/>
      <c r="C82" s="107" t="s">
        <v>195</v>
      </c>
      <c r="D82" s="25"/>
      <c r="E82" s="21"/>
      <c r="F82" s="21"/>
      <c r="G82" s="21"/>
      <c r="H82" s="21"/>
      <c r="I82" s="21"/>
      <c r="J82" s="30"/>
      <c r="K82" s="25"/>
      <c r="L82" s="54"/>
      <c r="M82" s="27"/>
      <c r="N82" s="86">
        <f>SUM(N75:N81)</f>
        <v>13.433397701303278</v>
      </c>
      <c r="O82" s="102">
        <f>SUM(O75:O81)</f>
        <v>13.7</v>
      </c>
      <c r="P82" s="30"/>
      <c r="Q82" s="81"/>
    </row>
    <row r="83" spans="2:17" ht="13.5">
      <c r="B83" s="5"/>
      <c r="C83" s="2" t="s">
        <v>157</v>
      </c>
      <c r="D83" s="25">
        <v>10.74</v>
      </c>
      <c r="E83" s="21">
        <f t="shared" si="13"/>
        <v>181.02</v>
      </c>
      <c r="F83" s="21"/>
      <c r="G83" s="21"/>
      <c r="H83" s="21">
        <f aca="true" t="shared" si="19" ref="H83:H89">D83/E83</f>
        <v>0.05933046072257209</v>
      </c>
      <c r="I83" s="21"/>
      <c r="J83" s="30">
        <f aca="true" t="shared" si="20" ref="J83:J89">O$60</f>
        <v>13.5</v>
      </c>
      <c r="K83" s="25"/>
      <c r="L83" s="46">
        <f>0.91+L$90</f>
        <v>0.98</v>
      </c>
      <c r="M83" s="60">
        <v>0.91</v>
      </c>
      <c r="N83" s="87">
        <f aca="true" t="shared" si="21" ref="N83:N89">(H83)*J83/L83/M83</f>
        <v>0.8981399638424794</v>
      </c>
      <c r="O83" s="88">
        <v>0.86</v>
      </c>
      <c r="P83" s="73">
        <f aca="true" t="shared" si="22" ref="P83:P89">N83-O83</f>
        <v>0.03813996384247942</v>
      </c>
      <c r="Q83" s="81" t="s">
        <v>151</v>
      </c>
    </row>
    <row r="84" spans="2:17" ht="13.5">
      <c r="B84" s="5"/>
      <c r="C84" s="2" t="s">
        <v>164</v>
      </c>
      <c r="D84" s="25">
        <v>26.8</v>
      </c>
      <c r="E84" s="21">
        <f t="shared" si="13"/>
        <v>181.02</v>
      </c>
      <c r="F84" s="21"/>
      <c r="G84" s="21"/>
      <c r="H84" s="21">
        <f t="shared" si="19"/>
        <v>0.1480499392332339</v>
      </c>
      <c r="I84" s="21"/>
      <c r="J84" s="30">
        <f t="shared" si="20"/>
        <v>13.5</v>
      </c>
      <c r="K84" s="25"/>
      <c r="L84" s="46">
        <f>0.94+L$90</f>
        <v>1.01</v>
      </c>
      <c r="M84" s="60">
        <v>0.93</v>
      </c>
      <c r="N84" s="89">
        <f t="shared" si="21"/>
        <v>2.127833684284741</v>
      </c>
      <c r="O84" s="90">
        <v>2.125</v>
      </c>
      <c r="P84" s="73">
        <f t="shared" si="22"/>
        <v>0.002833684284741178</v>
      </c>
      <c r="Q84" s="97" t="s">
        <v>200</v>
      </c>
    </row>
    <row r="85" spans="2:17" ht="13.5">
      <c r="B85" s="5"/>
      <c r="C85" s="2" t="s">
        <v>150</v>
      </c>
      <c r="D85" s="25">
        <v>12.29</v>
      </c>
      <c r="E85" s="21">
        <f t="shared" si="13"/>
        <v>181.02</v>
      </c>
      <c r="F85" s="21"/>
      <c r="G85" s="21"/>
      <c r="H85" s="21">
        <f t="shared" si="19"/>
        <v>0.06789305049165838</v>
      </c>
      <c r="I85" s="21"/>
      <c r="J85" s="30">
        <f t="shared" si="20"/>
        <v>13.5</v>
      </c>
      <c r="K85" s="25"/>
      <c r="L85" s="46">
        <f>0.97+L$90</f>
        <v>1.04</v>
      </c>
      <c r="M85" s="60">
        <v>0.95</v>
      </c>
      <c r="N85" s="89">
        <f t="shared" si="21"/>
        <v>0.9276884429528219</v>
      </c>
      <c r="O85" s="90">
        <v>0.925</v>
      </c>
      <c r="P85" s="73">
        <f t="shared" si="22"/>
        <v>0.00268844295282189</v>
      </c>
      <c r="Q85" s="81" t="s">
        <v>152</v>
      </c>
    </row>
    <row r="86" spans="2:17" ht="13.5">
      <c r="B86" s="5"/>
      <c r="C86" s="2" t="s">
        <v>165</v>
      </c>
      <c r="D86" s="25">
        <v>29.03</v>
      </c>
      <c r="E86" s="21">
        <f t="shared" si="13"/>
        <v>181.02</v>
      </c>
      <c r="F86" s="21"/>
      <c r="G86" s="21"/>
      <c r="H86" s="21">
        <f t="shared" si="19"/>
        <v>0.1603690199977903</v>
      </c>
      <c r="I86" s="21"/>
      <c r="J86" s="30">
        <f t="shared" si="20"/>
        <v>13.5</v>
      </c>
      <c r="K86" s="25"/>
      <c r="L86" s="46">
        <f>1+L$90</f>
        <v>1.07</v>
      </c>
      <c r="M86" s="60">
        <v>0.965</v>
      </c>
      <c r="N86" s="89">
        <f t="shared" si="21"/>
        <v>2.0967331073266853</v>
      </c>
      <c r="O86" s="90">
        <v>2.125</v>
      </c>
      <c r="P86" s="73">
        <f t="shared" si="22"/>
        <v>-0.028266892673314725</v>
      </c>
      <c r="Q86" s="81"/>
    </row>
    <row r="87" spans="2:17" ht="13.5">
      <c r="B87" s="5"/>
      <c r="C87" s="2" t="s">
        <v>153</v>
      </c>
      <c r="D87" s="25">
        <v>13.34</v>
      </c>
      <c r="E87" s="21">
        <f t="shared" si="13"/>
        <v>181.02</v>
      </c>
      <c r="F87" s="21"/>
      <c r="G87" s="21"/>
      <c r="H87" s="21">
        <f t="shared" si="19"/>
        <v>0.07369351452878134</v>
      </c>
      <c r="I87" s="21"/>
      <c r="J87" s="30">
        <f t="shared" si="20"/>
        <v>13.5</v>
      </c>
      <c r="K87" s="25"/>
      <c r="L87" s="46">
        <f>1.03+L$90</f>
        <v>1.1</v>
      </c>
      <c r="M87" s="60">
        <v>0.98</v>
      </c>
      <c r="N87" s="89">
        <f t="shared" si="21"/>
        <v>0.9228779648780594</v>
      </c>
      <c r="O87" s="90">
        <v>0.925</v>
      </c>
      <c r="P87" s="73">
        <f t="shared" si="22"/>
        <v>-0.0021220351219406464</v>
      </c>
      <c r="Q87" s="81" t="s">
        <v>152</v>
      </c>
    </row>
    <row r="88" spans="2:17" ht="13.5">
      <c r="B88" s="5"/>
      <c r="C88" s="2" t="s">
        <v>166</v>
      </c>
      <c r="D88" s="25">
        <v>32.07</v>
      </c>
      <c r="E88" s="21">
        <f t="shared" si="13"/>
        <v>181.02</v>
      </c>
      <c r="F88" s="21"/>
      <c r="G88" s="21"/>
      <c r="H88" s="21">
        <f t="shared" si="19"/>
        <v>0.17716274444812727</v>
      </c>
      <c r="I88" s="21"/>
      <c r="J88" s="30">
        <f t="shared" si="20"/>
        <v>13.5</v>
      </c>
      <c r="K88" s="25"/>
      <c r="L88" s="46">
        <f>1.06+L$90</f>
        <v>1.1300000000000001</v>
      </c>
      <c r="M88" s="60">
        <v>0.99</v>
      </c>
      <c r="N88" s="89">
        <f t="shared" si="21"/>
        <v>2.1379253151423243</v>
      </c>
      <c r="O88" s="90">
        <v>2.125</v>
      </c>
      <c r="P88" s="73">
        <f t="shared" si="22"/>
        <v>0.012925315142324312</v>
      </c>
      <c r="Q88" s="81"/>
    </row>
    <row r="89" spans="2:17" ht="14.25" thickBot="1">
      <c r="B89" s="5"/>
      <c r="C89" s="2" t="s">
        <v>154</v>
      </c>
      <c r="D89" s="25">
        <v>13.35</v>
      </c>
      <c r="E89" s="21">
        <f t="shared" si="13"/>
        <v>181.02</v>
      </c>
      <c r="F89" s="21"/>
      <c r="G89" s="21"/>
      <c r="H89" s="21">
        <f t="shared" si="19"/>
        <v>0.07374875704342061</v>
      </c>
      <c r="I89" s="21"/>
      <c r="J89" s="30">
        <f t="shared" si="20"/>
        <v>13.5</v>
      </c>
      <c r="K89" s="25"/>
      <c r="L89" s="46">
        <f>1.09+L$90</f>
        <v>1.1600000000000001</v>
      </c>
      <c r="M89" s="60">
        <v>1</v>
      </c>
      <c r="N89" s="91">
        <f t="shared" si="21"/>
        <v>0.8582829483501535</v>
      </c>
      <c r="O89" s="92">
        <v>0.86</v>
      </c>
      <c r="P89" s="73">
        <f t="shared" si="22"/>
        <v>-0.0017170516498464794</v>
      </c>
      <c r="Q89" s="81" t="s">
        <v>151</v>
      </c>
    </row>
    <row r="90" spans="2:17" ht="13.5">
      <c r="B90" s="5"/>
      <c r="C90" s="2"/>
      <c r="D90" s="25"/>
      <c r="E90" s="21"/>
      <c r="F90" s="21"/>
      <c r="G90" s="21"/>
      <c r="H90" s="21"/>
      <c r="I90" s="21"/>
      <c r="J90" s="30"/>
      <c r="K90" s="94" t="s">
        <v>167</v>
      </c>
      <c r="L90" s="54">
        <v>0.07</v>
      </c>
      <c r="M90" s="60"/>
      <c r="N90" s="65">
        <f>SUM(N83:N89)</f>
        <v>9.969481426777264</v>
      </c>
      <c r="O90" s="93">
        <f>SUM(O83:O89)</f>
        <v>9.945</v>
      </c>
      <c r="P90" s="73"/>
      <c r="Q90" s="81"/>
    </row>
    <row r="91" spans="2:17" ht="13.5">
      <c r="B91" s="5"/>
      <c r="C91" s="2" t="s">
        <v>155</v>
      </c>
      <c r="D91" s="25">
        <v>4.4</v>
      </c>
      <c r="E91" s="21">
        <f t="shared" si="13"/>
        <v>181.02</v>
      </c>
      <c r="F91" s="21"/>
      <c r="G91" s="21"/>
      <c r="H91" s="21">
        <f>D91/E91</f>
        <v>0.024306706441277207</v>
      </c>
      <c r="I91" s="21"/>
      <c r="J91" s="30">
        <f>O$60</f>
        <v>13.5</v>
      </c>
      <c r="K91" s="25"/>
      <c r="L91" s="54">
        <v>0.94</v>
      </c>
      <c r="M91" s="60">
        <v>0.98</v>
      </c>
      <c r="N91" s="31">
        <f>(H91)*J91/L91/M91</f>
        <v>0.3562098751164159</v>
      </c>
      <c r="O91" s="53">
        <v>0.36</v>
      </c>
      <c r="P91" s="73">
        <f aca="true" t="shared" si="23" ref="P91:P99">N91-O91</f>
        <v>-0.0037901248835841006</v>
      </c>
      <c r="Q91" s="81" t="s">
        <v>149</v>
      </c>
    </row>
    <row r="92" spans="2:17" ht="13.5">
      <c r="B92" s="5"/>
      <c r="C92" s="2" t="s">
        <v>158</v>
      </c>
      <c r="D92" s="25"/>
      <c r="E92" s="21"/>
      <c r="F92" s="21"/>
      <c r="G92" s="21"/>
      <c r="H92" s="21"/>
      <c r="I92" s="21"/>
      <c r="J92" s="30"/>
      <c r="K92" s="25"/>
      <c r="L92" s="54"/>
      <c r="M92" s="60"/>
      <c r="N92" s="38">
        <f>N$71</f>
        <v>0.45816126940180313</v>
      </c>
      <c r="O92" s="53">
        <v>0.46</v>
      </c>
      <c r="P92" s="73">
        <f t="shared" si="23"/>
        <v>-0.0018387305981968916</v>
      </c>
      <c r="Q92" s="81" t="s">
        <v>163</v>
      </c>
    </row>
    <row r="93" spans="2:17" ht="13.5">
      <c r="B93" s="5"/>
      <c r="C93" s="2" t="s">
        <v>159</v>
      </c>
      <c r="D93" s="25"/>
      <c r="E93" s="21"/>
      <c r="F93" s="21"/>
      <c r="G93" s="21"/>
      <c r="H93" s="21"/>
      <c r="I93" s="21"/>
      <c r="J93" s="30"/>
      <c r="K93" s="25"/>
      <c r="L93" s="54"/>
      <c r="M93" s="60"/>
      <c r="N93" s="38">
        <f>N$69</f>
        <v>0.7785648885784824</v>
      </c>
      <c r="O93" s="53">
        <v>0.78</v>
      </c>
      <c r="P93" s="73">
        <f t="shared" si="23"/>
        <v>-0.001435111421517643</v>
      </c>
      <c r="Q93" s="81" t="s">
        <v>160</v>
      </c>
    </row>
    <row r="94" spans="2:17" ht="13.5">
      <c r="B94" s="5"/>
      <c r="C94" s="2" t="s">
        <v>156</v>
      </c>
      <c r="D94" s="25">
        <v>5.34</v>
      </c>
      <c r="E94" s="21">
        <f t="shared" si="13"/>
        <v>181.02</v>
      </c>
      <c r="F94" s="21"/>
      <c r="G94" s="21"/>
      <c r="H94" s="21">
        <f aca="true" t="shared" si="24" ref="H94:H99">D94/E94</f>
        <v>0.029499502817368243</v>
      </c>
      <c r="I94" s="21"/>
      <c r="J94" s="30">
        <f aca="true" t="shared" si="25" ref="J94:J99">O$60</f>
        <v>13.5</v>
      </c>
      <c r="K94" s="25"/>
      <c r="L94" s="54">
        <v>1.073</v>
      </c>
      <c r="M94" s="60">
        <v>1.02</v>
      </c>
      <c r="N94" s="31">
        <f aca="true" t="shared" si="26" ref="N94:N99">(H94)*J94/L94/M94</f>
        <v>0.3638719441866046</v>
      </c>
      <c r="O94" s="53">
        <v>0.36</v>
      </c>
      <c r="P94" s="73">
        <f t="shared" si="23"/>
        <v>0.0038719441866046367</v>
      </c>
      <c r="Q94" s="81" t="s">
        <v>149</v>
      </c>
    </row>
    <row r="95" spans="2:17" ht="13.5">
      <c r="B95" s="5"/>
      <c r="C95" s="2" t="s">
        <v>161</v>
      </c>
      <c r="D95" s="25">
        <v>5.8</v>
      </c>
      <c r="E95" s="21">
        <v>181.02</v>
      </c>
      <c r="F95" s="21"/>
      <c r="G95" s="21"/>
      <c r="H95" s="21">
        <f t="shared" si="24"/>
        <v>0.0320406584907745</v>
      </c>
      <c r="I95" s="21"/>
      <c r="J95" s="30">
        <f t="shared" si="25"/>
        <v>13.5</v>
      </c>
      <c r="K95" s="25"/>
      <c r="L95" s="54">
        <v>1.105</v>
      </c>
      <c r="M95" s="60">
        <v>1.05</v>
      </c>
      <c r="N95" s="83">
        <f t="shared" si="26"/>
        <v>0.37280662755910854</v>
      </c>
      <c r="O95" s="85">
        <v>0.4</v>
      </c>
      <c r="P95" s="73">
        <f t="shared" si="23"/>
        <v>-0.027193372440891483</v>
      </c>
      <c r="Q95" s="81"/>
    </row>
    <row r="96" spans="2:17" ht="13.5">
      <c r="B96" s="5"/>
      <c r="C96" s="2" t="s">
        <v>162</v>
      </c>
      <c r="D96" s="25">
        <v>4.68</v>
      </c>
      <c r="E96" s="21">
        <v>181.02</v>
      </c>
      <c r="F96" s="21"/>
      <c r="G96" s="21"/>
      <c r="H96" s="21">
        <f t="shared" si="24"/>
        <v>0.025853496851176664</v>
      </c>
      <c r="I96" s="21"/>
      <c r="J96" s="30">
        <f t="shared" si="25"/>
        <v>13.5</v>
      </c>
      <c r="K96" s="25"/>
      <c r="L96" s="54">
        <v>0.91</v>
      </c>
      <c r="M96" s="60">
        <v>0.95</v>
      </c>
      <c r="N96" s="83">
        <f t="shared" si="26"/>
        <v>0.403727249844864</v>
      </c>
      <c r="O96" s="85">
        <v>0.4</v>
      </c>
      <c r="P96" s="73">
        <f t="shared" si="23"/>
        <v>0.003727249844864</v>
      </c>
      <c r="Q96" s="81"/>
    </row>
    <row r="97" spans="2:17" ht="13.5">
      <c r="B97" s="5"/>
      <c r="C97" s="2" t="s">
        <v>95</v>
      </c>
      <c r="D97" s="25">
        <v>4.05</v>
      </c>
      <c r="E97" s="28">
        <v>192.27</v>
      </c>
      <c r="F97" s="21"/>
      <c r="G97" s="21"/>
      <c r="H97" s="21">
        <f t="shared" si="24"/>
        <v>0.02106412856919956</v>
      </c>
      <c r="I97" s="21"/>
      <c r="J97" s="30">
        <f t="shared" si="25"/>
        <v>13.5</v>
      </c>
      <c r="K97" s="25"/>
      <c r="L97" s="54">
        <v>1</v>
      </c>
      <c r="M97" s="27">
        <v>1</v>
      </c>
      <c r="N97" s="83">
        <f t="shared" si="26"/>
        <v>0.28436573568419404</v>
      </c>
      <c r="O97" s="84">
        <v>0.28</v>
      </c>
      <c r="P97" s="30">
        <f t="shared" si="23"/>
        <v>0.0043657356841940165</v>
      </c>
      <c r="Q97" s="81"/>
    </row>
    <row r="98" spans="2:17" ht="13.5">
      <c r="B98" s="5"/>
      <c r="C98" s="2" t="s">
        <v>94</v>
      </c>
      <c r="D98" s="25">
        <v>52.68</v>
      </c>
      <c r="E98" s="19">
        <f>E$97</f>
        <v>192.27</v>
      </c>
      <c r="F98" s="21"/>
      <c r="G98" s="21"/>
      <c r="H98" s="21">
        <f t="shared" si="24"/>
        <v>0.2739897019815884</v>
      </c>
      <c r="I98" s="21"/>
      <c r="J98" s="30">
        <f t="shared" si="25"/>
        <v>13.5</v>
      </c>
      <c r="K98" s="25"/>
      <c r="L98" s="54">
        <v>1.008</v>
      </c>
      <c r="M98" s="27">
        <v>1</v>
      </c>
      <c r="N98" s="31">
        <f t="shared" si="26"/>
        <v>3.669504937253416</v>
      </c>
      <c r="O98" s="36">
        <v>3.65</v>
      </c>
      <c r="P98" s="30">
        <f t="shared" si="23"/>
        <v>0.019504937253416177</v>
      </c>
      <c r="Q98" s="81"/>
    </row>
    <row r="99" spans="2:17" ht="13.5">
      <c r="B99" s="5"/>
      <c r="C99" s="2" t="s">
        <v>146</v>
      </c>
      <c r="D99" s="25">
        <v>44.7</v>
      </c>
      <c r="E99" s="19">
        <f>E$97</f>
        <v>192.27</v>
      </c>
      <c r="F99" s="21"/>
      <c r="G99" s="21"/>
      <c r="H99" s="21">
        <f t="shared" si="24"/>
        <v>0.23248556717116556</v>
      </c>
      <c r="I99" s="21"/>
      <c r="J99" s="30">
        <f t="shared" si="25"/>
        <v>13.5</v>
      </c>
      <c r="K99" s="25"/>
      <c r="L99" s="54">
        <v>1.022</v>
      </c>
      <c r="M99" s="27">
        <v>1</v>
      </c>
      <c r="N99" s="31">
        <f t="shared" si="26"/>
        <v>3.0709933041200927</v>
      </c>
      <c r="O99" s="30">
        <f>O$60/2-O98</f>
        <v>3.1</v>
      </c>
      <c r="P99" s="30">
        <f t="shared" si="23"/>
        <v>-0.02900669587990734</v>
      </c>
      <c r="Q99" s="81"/>
    </row>
    <row r="100" spans="2:17" ht="13.5">
      <c r="B100" s="5"/>
      <c r="C100" s="2"/>
      <c r="D100" s="25"/>
      <c r="E100" s="21"/>
      <c r="F100" s="21"/>
      <c r="G100" s="21"/>
      <c r="H100" s="21"/>
      <c r="I100" s="21"/>
      <c r="J100" s="30"/>
      <c r="K100" s="25"/>
      <c r="L100" s="46"/>
      <c r="M100" s="27"/>
      <c r="N100" s="35"/>
      <c r="O100" s="36"/>
      <c r="P100" s="30"/>
      <c r="Q100" s="81"/>
    </row>
    <row r="101" spans="2:17" ht="13.5">
      <c r="B101" s="5" t="s">
        <v>55</v>
      </c>
      <c r="C101" s="2" t="s">
        <v>101</v>
      </c>
      <c r="D101" s="25">
        <v>149.51</v>
      </c>
      <c r="E101" s="25">
        <v>153</v>
      </c>
      <c r="F101" s="21"/>
      <c r="G101" s="21"/>
      <c r="H101" s="21">
        <f aca="true" t="shared" si="27" ref="H101:H108">D101/E101</f>
        <v>0.9771895424836601</v>
      </c>
      <c r="I101" s="21"/>
      <c r="J101" s="30">
        <f>O$60</f>
        <v>13.5</v>
      </c>
      <c r="K101" s="25"/>
      <c r="L101" s="54">
        <v>1</v>
      </c>
      <c r="M101" s="27">
        <v>1</v>
      </c>
      <c r="N101" s="31">
        <f aca="true" t="shared" si="28" ref="N101:N108">(H101)*J101/L101/M101</f>
        <v>13.192058823529411</v>
      </c>
      <c r="O101" s="36">
        <v>13.2</v>
      </c>
      <c r="P101" s="30">
        <f aca="true" t="shared" si="29" ref="P101:P108">N101-O101</f>
        <v>-0.007941176470588118</v>
      </c>
      <c r="Q101" s="80"/>
    </row>
    <row r="102" spans="2:17" ht="13.5">
      <c r="B102" s="5"/>
      <c r="C102" s="2" t="s">
        <v>56</v>
      </c>
      <c r="D102" s="25">
        <v>145.11</v>
      </c>
      <c r="E102" s="21">
        <f>E$101</f>
        <v>153</v>
      </c>
      <c r="F102" s="21"/>
      <c r="G102" s="21"/>
      <c r="H102" s="21">
        <f t="shared" si="27"/>
        <v>0.9484313725490197</v>
      </c>
      <c r="I102" s="21"/>
      <c r="J102" s="30">
        <f>O$60</f>
        <v>13.5</v>
      </c>
      <c r="K102" s="25"/>
      <c r="L102" s="54">
        <v>0.986</v>
      </c>
      <c r="M102" s="27">
        <v>1</v>
      </c>
      <c r="N102" s="31">
        <f t="shared" si="28"/>
        <v>12.985622240782725</v>
      </c>
      <c r="O102" s="36">
        <v>13</v>
      </c>
      <c r="P102" s="30">
        <f t="shared" si="29"/>
        <v>-0.014377759217275354</v>
      </c>
      <c r="Q102" s="81"/>
    </row>
    <row r="103" spans="2:17" ht="13.5">
      <c r="B103" s="5"/>
      <c r="C103" s="2" t="s">
        <v>103</v>
      </c>
      <c r="D103" s="25">
        <v>126</v>
      </c>
      <c r="E103" s="21">
        <f>E$101</f>
        <v>153</v>
      </c>
      <c r="F103" s="21"/>
      <c r="G103" s="21"/>
      <c r="H103" s="21">
        <f t="shared" si="27"/>
        <v>0.8235294117647058</v>
      </c>
      <c r="I103" s="21"/>
      <c r="J103" s="30">
        <f>O$60</f>
        <v>13.5</v>
      </c>
      <c r="K103" s="25"/>
      <c r="L103" s="54">
        <v>0.981</v>
      </c>
      <c r="M103" s="27">
        <v>1</v>
      </c>
      <c r="N103" s="31">
        <f t="shared" si="28"/>
        <v>11.332973556395034</v>
      </c>
      <c r="O103" s="58">
        <v>11.35</v>
      </c>
      <c r="P103" s="30">
        <f t="shared" si="29"/>
        <v>-0.017026443604965635</v>
      </c>
      <c r="Q103" s="81"/>
    </row>
    <row r="104" spans="2:17" ht="13.5">
      <c r="B104" s="5"/>
      <c r="C104" s="2" t="s">
        <v>105</v>
      </c>
      <c r="D104" s="25">
        <v>33.24</v>
      </c>
      <c r="E104" s="21">
        <f>E$101</f>
        <v>153</v>
      </c>
      <c r="F104" s="21"/>
      <c r="G104" s="21"/>
      <c r="H104" s="21">
        <f t="shared" si="27"/>
        <v>0.2172549019607843</v>
      </c>
      <c r="I104" s="21"/>
      <c r="J104" s="30">
        <f>O$60</f>
        <v>13.5</v>
      </c>
      <c r="K104" s="25"/>
      <c r="L104" s="46">
        <f>0.995*150.5/153</f>
        <v>0.9787418300653595</v>
      </c>
      <c r="M104" s="27">
        <v>0.99</v>
      </c>
      <c r="N104" s="31">
        <f t="shared" si="28"/>
        <v>3.026913486186596</v>
      </c>
      <c r="O104" s="58">
        <v>3.05</v>
      </c>
      <c r="P104" s="30">
        <f t="shared" si="29"/>
        <v>-0.023086513813403986</v>
      </c>
      <c r="Q104" s="81"/>
    </row>
    <row r="105" spans="2:17" ht="13.5">
      <c r="B105" s="5"/>
      <c r="C105" s="2" t="s">
        <v>106</v>
      </c>
      <c r="D105" s="25">
        <v>13.63</v>
      </c>
      <c r="E105" s="21">
        <f>E$101</f>
        <v>153</v>
      </c>
      <c r="F105" s="21"/>
      <c r="G105" s="21"/>
      <c r="H105" s="21">
        <f t="shared" si="27"/>
        <v>0.08908496732026144</v>
      </c>
      <c r="I105" s="21"/>
      <c r="J105" s="30">
        <f>O$60</f>
        <v>13.5</v>
      </c>
      <c r="K105" s="25"/>
      <c r="L105" s="46">
        <f>0.99*150.5/153</f>
        <v>0.9738235294117648</v>
      </c>
      <c r="M105" s="53">
        <v>0.982</v>
      </c>
      <c r="N105" s="31">
        <f t="shared" si="28"/>
        <v>1.2576113319730995</v>
      </c>
      <c r="O105" s="36">
        <v>1.3</v>
      </c>
      <c r="P105" s="30">
        <f t="shared" si="29"/>
        <v>-0.042388668026900556</v>
      </c>
      <c r="Q105" s="81"/>
    </row>
    <row r="106" spans="2:17" ht="13.5">
      <c r="B106" s="5"/>
      <c r="C106" s="2" t="s">
        <v>91</v>
      </c>
      <c r="D106" s="25">
        <v>8.68</v>
      </c>
      <c r="E106" s="21">
        <f>D$103</f>
        <v>126</v>
      </c>
      <c r="F106" s="21"/>
      <c r="G106" s="21"/>
      <c r="H106" s="21">
        <f t="shared" si="27"/>
        <v>0.06888888888888889</v>
      </c>
      <c r="I106" s="21"/>
      <c r="J106" s="30">
        <f>O$103</f>
        <v>11.35</v>
      </c>
      <c r="K106" s="25"/>
      <c r="L106" s="54">
        <v>1.15</v>
      </c>
      <c r="M106" s="53">
        <v>1</v>
      </c>
      <c r="N106" s="31">
        <f t="shared" si="28"/>
        <v>0.6799033816425121</v>
      </c>
      <c r="O106" s="36">
        <v>0.7</v>
      </c>
      <c r="P106" s="30">
        <f t="shared" si="29"/>
        <v>-0.020096618357487883</v>
      </c>
      <c r="Q106" s="81"/>
    </row>
    <row r="107" spans="2:17" ht="13.5">
      <c r="B107" s="5"/>
      <c r="C107" s="2" t="s">
        <v>92</v>
      </c>
      <c r="D107" s="25">
        <v>4.55</v>
      </c>
      <c r="E107" s="21">
        <f>D$103</f>
        <v>126</v>
      </c>
      <c r="F107" s="21"/>
      <c r="G107" s="21"/>
      <c r="H107" s="21">
        <f t="shared" si="27"/>
        <v>0.03611111111111111</v>
      </c>
      <c r="I107" s="21"/>
      <c r="J107" s="30">
        <f>O$103</f>
        <v>11.35</v>
      </c>
      <c r="K107" s="25"/>
      <c r="L107" s="54">
        <v>1.15</v>
      </c>
      <c r="M107" s="53">
        <v>0.975</v>
      </c>
      <c r="N107" s="31">
        <f t="shared" si="28"/>
        <v>0.36553945249597425</v>
      </c>
      <c r="O107" s="36">
        <v>0.4</v>
      </c>
      <c r="P107" s="30">
        <f t="shared" si="29"/>
        <v>-0.034460547504025774</v>
      </c>
      <c r="Q107" s="81"/>
    </row>
    <row r="108" spans="2:17" ht="13.5">
      <c r="B108" s="5"/>
      <c r="C108" s="2" t="s">
        <v>93</v>
      </c>
      <c r="D108" s="25">
        <v>8.75</v>
      </c>
      <c r="E108" s="21">
        <f>D$103</f>
        <v>126</v>
      </c>
      <c r="F108" s="21"/>
      <c r="G108" s="21"/>
      <c r="H108" s="21">
        <f t="shared" si="27"/>
        <v>0.06944444444444445</v>
      </c>
      <c r="I108" s="21"/>
      <c r="J108" s="30">
        <f>O$103</f>
        <v>11.35</v>
      </c>
      <c r="K108" s="25"/>
      <c r="L108" s="54">
        <v>1.15</v>
      </c>
      <c r="M108" s="53">
        <v>0.977</v>
      </c>
      <c r="N108" s="31">
        <f t="shared" si="28"/>
        <v>0.7015214671749762</v>
      </c>
      <c r="O108" s="36">
        <v>0.7</v>
      </c>
      <c r="P108" s="30">
        <f t="shared" si="29"/>
        <v>0.0015214671749762543</v>
      </c>
      <c r="Q108" s="81"/>
    </row>
    <row r="109" spans="2:17" ht="13.5">
      <c r="B109" s="5"/>
      <c r="C109" s="2"/>
      <c r="D109" s="21"/>
      <c r="E109" s="25"/>
      <c r="F109" s="21"/>
      <c r="G109" s="21"/>
      <c r="H109" s="21"/>
      <c r="I109" s="21"/>
      <c r="J109" s="30"/>
      <c r="K109" s="25"/>
      <c r="L109" s="32"/>
      <c r="M109" s="27"/>
      <c r="N109" s="18"/>
      <c r="O109" s="36"/>
      <c r="P109" s="30"/>
      <c r="Q109" s="81"/>
    </row>
    <row r="110" spans="2:17" ht="13.5">
      <c r="B110" s="5" t="s">
        <v>58</v>
      </c>
      <c r="C110" s="2" t="s">
        <v>102</v>
      </c>
      <c r="D110" s="25">
        <v>191.38</v>
      </c>
      <c r="E110" s="25">
        <v>195</v>
      </c>
      <c r="F110" s="21"/>
      <c r="G110" s="21"/>
      <c r="H110" s="21">
        <f>D110/E110</f>
        <v>0.9814358974358974</v>
      </c>
      <c r="I110" s="21"/>
      <c r="J110" s="30">
        <f>O$60</f>
        <v>13.5</v>
      </c>
      <c r="K110" s="25"/>
      <c r="L110" s="54">
        <v>1</v>
      </c>
      <c r="M110" s="27">
        <v>1</v>
      </c>
      <c r="N110" s="31">
        <f>(H110)*J110/L110/M110</f>
        <v>13.249384615384615</v>
      </c>
      <c r="O110" s="36">
        <v>13.2</v>
      </c>
      <c r="P110" s="30">
        <f>N110-O110</f>
        <v>0.049384615384616026</v>
      </c>
      <c r="Q110" s="80"/>
    </row>
    <row r="111" spans="2:17" ht="13.5">
      <c r="B111" s="5"/>
      <c r="C111" s="2" t="s">
        <v>59</v>
      </c>
      <c r="D111" s="25">
        <v>191.7</v>
      </c>
      <c r="E111" s="21">
        <f>E$110</f>
        <v>195</v>
      </c>
      <c r="F111" s="21"/>
      <c r="G111" s="21"/>
      <c r="H111" s="21">
        <f>D111/E111</f>
        <v>0.9830769230769231</v>
      </c>
      <c r="I111" s="21"/>
      <c r="J111" s="30">
        <f>O$60</f>
        <v>13.5</v>
      </c>
      <c r="K111" s="25"/>
      <c r="L111" s="54">
        <v>1.016</v>
      </c>
      <c r="M111" s="27">
        <v>1</v>
      </c>
      <c r="N111" s="31">
        <f>(H111)*J111/L111/M111</f>
        <v>13.062537855844942</v>
      </c>
      <c r="O111" s="36">
        <v>13.05</v>
      </c>
      <c r="P111" s="30">
        <f>N111-O111</f>
        <v>0.012537855844941603</v>
      </c>
      <c r="Q111" s="81"/>
    </row>
    <row r="112" spans="2:17" ht="13.5">
      <c r="B112" s="5"/>
      <c r="C112" s="2" t="s">
        <v>104</v>
      </c>
      <c r="D112" s="25">
        <v>167.6</v>
      </c>
      <c r="E112" s="21">
        <f>E$110</f>
        <v>195</v>
      </c>
      <c r="F112" s="21"/>
      <c r="G112" s="21"/>
      <c r="H112" s="21">
        <f>D112/E112</f>
        <v>0.8594871794871795</v>
      </c>
      <c r="I112" s="21"/>
      <c r="J112" s="30">
        <f>O$60</f>
        <v>13.5</v>
      </c>
      <c r="K112" s="25"/>
      <c r="L112" s="54">
        <v>1.023</v>
      </c>
      <c r="M112" s="27">
        <v>1</v>
      </c>
      <c r="N112" s="31">
        <f>(H112)*J112/L112/M112</f>
        <v>11.34220618091586</v>
      </c>
      <c r="O112" s="36">
        <v>11.35</v>
      </c>
      <c r="P112" s="30">
        <f>N112-O112</f>
        <v>-0.007793819084140452</v>
      </c>
      <c r="Q112" s="81"/>
    </row>
    <row r="113" spans="2:17" ht="13.5">
      <c r="B113" s="5"/>
      <c r="C113" s="2" t="s">
        <v>107</v>
      </c>
      <c r="D113" s="25">
        <v>43.93</v>
      </c>
      <c r="E113" s="21">
        <f>E$110</f>
        <v>195</v>
      </c>
      <c r="F113" s="21"/>
      <c r="G113" s="21"/>
      <c r="H113" s="21">
        <f>D113/E113</f>
        <v>0.22528205128205128</v>
      </c>
      <c r="I113" s="21"/>
      <c r="J113" s="30">
        <f>O$60</f>
        <v>13.5</v>
      </c>
      <c r="K113" s="25"/>
      <c r="L113" s="46">
        <f>1.005*150.5/153</f>
        <v>0.988578431372549</v>
      </c>
      <c r="M113" s="27">
        <v>1</v>
      </c>
      <c r="N113" s="31">
        <f>(H113)*J113/L113/M113</f>
        <v>3.076445526011649</v>
      </c>
      <c r="O113" s="36">
        <v>3.05</v>
      </c>
      <c r="P113" s="30">
        <f aca="true" t="shared" si="30" ref="P113:P129">N113-O113</f>
        <v>0.02644552601164918</v>
      </c>
      <c r="Q113" s="81"/>
    </row>
    <row r="114" spans="2:17" ht="13.5">
      <c r="B114" s="5"/>
      <c r="C114" s="2" t="s">
        <v>108</v>
      </c>
      <c r="D114" s="25">
        <v>19.06</v>
      </c>
      <c r="E114" s="21">
        <f>E$110</f>
        <v>195</v>
      </c>
      <c r="F114" s="21"/>
      <c r="G114" s="21"/>
      <c r="H114" s="21">
        <f>D114/E114</f>
        <v>0.09774358974358974</v>
      </c>
      <c r="I114" s="21"/>
      <c r="J114" s="30">
        <f>O$60</f>
        <v>13.5</v>
      </c>
      <c r="K114" s="25"/>
      <c r="L114" s="46">
        <f>1.01*150.5/153</f>
        <v>0.9934967320261437</v>
      </c>
      <c r="M114" s="53">
        <v>1.01</v>
      </c>
      <c r="N114" s="31">
        <f>(H114)*J114/L114/M114</f>
        <v>1.3150256887418998</v>
      </c>
      <c r="O114" s="36">
        <v>1.3</v>
      </c>
      <c r="P114" s="30">
        <f t="shared" si="30"/>
        <v>0.0150256887418998</v>
      </c>
      <c r="Q114" s="81"/>
    </row>
    <row r="115" spans="2:17" ht="13.5">
      <c r="B115" s="5"/>
      <c r="C115" s="2"/>
      <c r="D115" s="25"/>
      <c r="E115" s="21"/>
      <c r="F115" s="21"/>
      <c r="G115" s="21"/>
      <c r="H115" s="21"/>
      <c r="I115" s="21"/>
      <c r="J115" s="30"/>
      <c r="K115" s="25"/>
      <c r="L115" s="46"/>
      <c r="M115" s="53"/>
      <c r="N115" s="35"/>
      <c r="O115" s="36"/>
      <c r="P115" s="30"/>
      <c r="Q115" s="81"/>
    </row>
    <row r="116" spans="2:17" ht="13.5">
      <c r="B116" s="5" t="s">
        <v>60</v>
      </c>
      <c r="C116" s="2" t="s">
        <v>63</v>
      </c>
      <c r="D116" s="25">
        <v>103</v>
      </c>
      <c r="E116" s="25">
        <v>125.3</v>
      </c>
      <c r="F116" s="21"/>
      <c r="G116" s="21"/>
      <c r="H116" s="21">
        <f>D116/E116</f>
        <v>0.8220271348762969</v>
      </c>
      <c r="I116" s="21"/>
      <c r="J116" s="30">
        <f>O$4</f>
        <v>15.2</v>
      </c>
      <c r="K116" s="24"/>
      <c r="L116" s="32">
        <v>0.941</v>
      </c>
      <c r="M116" s="27">
        <v>1</v>
      </c>
      <c r="N116" s="31">
        <f>(H116)*J116/L116/M116</f>
        <v>13.278227895982692</v>
      </c>
      <c r="O116" s="58">
        <v>13.3</v>
      </c>
      <c r="P116" s="30">
        <f t="shared" si="30"/>
        <v>-0.02177210401730889</v>
      </c>
      <c r="Q116" s="81" t="s">
        <v>198</v>
      </c>
    </row>
    <row r="117" spans="2:17" ht="13.5">
      <c r="B117" s="5" t="s">
        <v>116</v>
      </c>
      <c r="C117" s="2" t="s">
        <v>64</v>
      </c>
      <c r="D117" s="25">
        <v>92.7</v>
      </c>
      <c r="E117" s="21">
        <f>$E$116</f>
        <v>125.3</v>
      </c>
      <c r="F117" s="21"/>
      <c r="G117" s="21"/>
      <c r="H117" s="21">
        <f>D117/E117</f>
        <v>0.7398244213886672</v>
      </c>
      <c r="I117" s="21"/>
      <c r="J117" s="30">
        <f>O$4</f>
        <v>15.2</v>
      </c>
      <c r="K117" s="25"/>
      <c r="L117" s="32">
        <v>0.941</v>
      </c>
      <c r="M117" s="27">
        <v>1</v>
      </c>
      <c r="N117" s="31">
        <f>(H117)*J117/L117/M117</f>
        <v>11.950405106384423</v>
      </c>
      <c r="O117" s="30">
        <f>O116-O119*2</f>
        <v>11.9</v>
      </c>
      <c r="P117" s="30">
        <f t="shared" si="30"/>
        <v>0.05040510638442264</v>
      </c>
      <c r="Q117" s="81"/>
    </row>
    <row r="118" spans="2:17" ht="13.5">
      <c r="B118" s="5"/>
      <c r="C118" s="2" t="s">
        <v>62</v>
      </c>
      <c r="D118" s="25"/>
      <c r="E118" s="21"/>
      <c r="F118" s="21"/>
      <c r="G118" s="21"/>
      <c r="H118" s="21"/>
      <c r="I118" s="21"/>
      <c r="J118" s="30"/>
      <c r="K118" s="25"/>
      <c r="L118" s="46"/>
      <c r="M118" s="53"/>
      <c r="N118" s="38">
        <f>(N116+N117)/2</f>
        <v>12.614316501183557</v>
      </c>
      <c r="O118" s="30">
        <v>12.5</v>
      </c>
      <c r="P118" s="72">
        <f t="shared" si="30"/>
        <v>0.1143165011835574</v>
      </c>
      <c r="Q118" s="81" t="s">
        <v>90</v>
      </c>
    </row>
    <row r="119" spans="2:17" ht="13.5">
      <c r="B119" s="5"/>
      <c r="C119" s="2" t="s">
        <v>148</v>
      </c>
      <c r="D119" s="25"/>
      <c r="E119" s="21"/>
      <c r="F119" s="21"/>
      <c r="G119" s="21"/>
      <c r="H119" s="21"/>
      <c r="I119" s="21"/>
      <c r="J119" s="30"/>
      <c r="K119" s="25"/>
      <c r="L119" s="46"/>
      <c r="M119" s="53"/>
      <c r="N119" s="38">
        <f>(N116-N117)/2</f>
        <v>0.6639113947991344</v>
      </c>
      <c r="O119" s="79">
        <v>0.7</v>
      </c>
      <c r="P119" s="30">
        <f>N119-O119</f>
        <v>-0.03608860520086554</v>
      </c>
      <c r="Q119" s="81" t="s">
        <v>86</v>
      </c>
    </row>
    <row r="120" spans="2:17" ht="13.5">
      <c r="B120" s="5"/>
      <c r="C120" s="2" t="s">
        <v>65</v>
      </c>
      <c r="D120" s="25">
        <v>88</v>
      </c>
      <c r="E120" s="21">
        <f>$E$116</f>
        <v>125.3</v>
      </c>
      <c r="F120" s="21"/>
      <c r="G120" s="21"/>
      <c r="H120" s="21">
        <f>D120/E120</f>
        <v>0.7023144453312051</v>
      </c>
      <c r="I120" s="21"/>
      <c r="J120" s="30">
        <f>O$4</f>
        <v>15.2</v>
      </c>
      <c r="K120" s="25"/>
      <c r="L120" s="32">
        <v>0.927</v>
      </c>
      <c r="M120" s="27">
        <v>1</v>
      </c>
      <c r="N120" s="31">
        <f>(H120)*J120/L120/M120</f>
        <v>11.515835565301314</v>
      </c>
      <c r="O120" s="40">
        <v>11.57</v>
      </c>
      <c r="P120" s="30">
        <f>N120-O120</f>
        <v>-0.05416443469868604</v>
      </c>
      <c r="Q120" s="81" t="s">
        <v>199</v>
      </c>
    </row>
    <row r="121" spans="2:17" ht="13.5">
      <c r="B121" s="5"/>
      <c r="C121" s="2" t="s">
        <v>66</v>
      </c>
      <c r="D121" s="25">
        <v>19.48</v>
      </c>
      <c r="E121" s="21"/>
      <c r="F121" s="21"/>
      <c r="G121" s="21"/>
      <c r="H121" s="21"/>
      <c r="I121" s="21"/>
      <c r="J121" s="40">
        <v>3.1</v>
      </c>
      <c r="K121" s="25"/>
      <c r="L121" s="46"/>
      <c r="M121" s="53"/>
      <c r="N121" s="35">
        <f>J121</f>
        <v>3.1</v>
      </c>
      <c r="O121" s="36">
        <v>3.1</v>
      </c>
      <c r="P121" s="30">
        <f t="shared" si="30"/>
        <v>0</v>
      </c>
      <c r="Q121" s="81"/>
    </row>
    <row r="122" spans="2:17" ht="13.5">
      <c r="B122" s="5"/>
      <c r="C122" s="2" t="s">
        <v>147</v>
      </c>
      <c r="D122" s="25">
        <v>3.84</v>
      </c>
      <c r="E122" s="21">
        <f>D$121</f>
        <v>19.48</v>
      </c>
      <c r="F122" s="21"/>
      <c r="G122" s="21"/>
      <c r="H122" s="21">
        <f aca="true" t="shared" si="31" ref="H122:H129">D122/E122</f>
        <v>0.19712525667351127</v>
      </c>
      <c r="I122" s="21"/>
      <c r="J122" s="30">
        <f>J$121</f>
        <v>3.1</v>
      </c>
      <c r="K122" s="25"/>
      <c r="L122" s="32">
        <v>0.965</v>
      </c>
      <c r="M122" s="53">
        <v>0.98</v>
      </c>
      <c r="N122" s="31">
        <f aca="true" t="shared" si="32" ref="N122:N129">(H122)*J122/L122/M122</f>
        <v>0.6461756325345087</v>
      </c>
      <c r="O122" s="36">
        <v>0.7</v>
      </c>
      <c r="P122" s="30">
        <f t="shared" si="30"/>
        <v>-0.05382436746549124</v>
      </c>
      <c r="Q122" s="81"/>
    </row>
    <row r="123" spans="2:17" ht="13.5">
      <c r="B123" s="5"/>
      <c r="C123" s="2" t="s">
        <v>61</v>
      </c>
      <c r="D123" s="25">
        <v>1.98</v>
      </c>
      <c r="E123" s="21">
        <f>D$121</f>
        <v>19.48</v>
      </c>
      <c r="F123" s="21"/>
      <c r="G123" s="21"/>
      <c r="H123" s="21">
        <f t="shared" si="31"/>
        <v>0.10164271047227925</v>
      </c>
      <c r="I123" s="21"/>
      <c r="J123" s="30">
        <f>J$121</f>
        <v>3.1</v>
      </c>
      <c r="K123" s="25"/>
      <c r="L123" s="32">
        <v>0.95</v>
      </c>
      <c r="M123" s="53">
        <v>0.97</v>
      </c>
      <c r="N123" s="31">
        <f t="shared" si="32"/>
        <v>0.3419342403299682</v>
      </c>
      <c r="O123" s="36">
        <v>0.35</v>
      </c>
      <c r="P123" s="30">
        <f t="shared" si="30"/>
        <v>-0.008065759670031758</v>
      </c>
      <c r="Q123" s="81"/>
    </row>
    <row r="124" spans="2:17" ht="13.5">
      <c r="B124" s="5"/>
      <c r="C124" s="2"/>
      <c r="D124" s="25"/>
      <c r="E124" s="21"/>
      <c r="F124" s="21"/>
      <c r="G124" s="21"/>
      <c r="H124" s="21"/>
      <c r="I124" s="21"/>
      <c r="J124" s="30"/>
      <c r="K124" s="25"/>
      <c r="L124" s="32"/>
      <c r="M124" s="53"/>
      <c r="N124" s="35"/>
      <c r="O124" s="36"/>
      <c r="P124" s="30"/>
      <c r="Q124" s="81"/>
    </row>
    <row r="125" spans="2:17" ht="13.5">
      <c r="B125" s="5" t="s">
        <v>60</v>
      </c>
      <c r="C125" s="2" t="s">
        <v>118</v>
      </c>
      <c r="D125" s="25">
        <v>65.196</v>
      </c>
      <c r="E125" s="25">
        <v>80.62</v>
      </c>
      <c r="F125" s="21"/>
      <c r="G125" s="21"/>
      <c r="H125" s="21">
        <f t="shared" si="31"/>
        <v>0.8086827090052096</v>
      </c>
      <c r="I125" s="21"/>
      <c r="J125" s="30">
        <f aca="true" t="shared" si="33" ref="J125:J130">O$4</f>
        <v>15.2</v>
      </c>
      <c r="K125" s="25"/>
      <c r="L125" s="44">
        <v>1.229</v>
      </c>
      <c r="M125" s="53">
        <v>1</v>
      </c>
      <c r="N125" s="31">
        <f t="shared" si="32"/>
        <v>10.001608768819514</v>
      </c>
      <c r="O125" s="56">
        <v>10</v>
      </c>
      <c r="P125" s="30">
        <f t="shared" si="30"/>
        <v>0.0016087688195138838</v>
      </c>
      <c r="Q125" s="81" t="s">
        <v>119</v>
      </c>
    </row>
    <row r="126" spans="2:17" ht="13.5">
      <c r="B126" s="5" t="s">
        <v>117</v>
      </c>
      <c r="C126" s="2" t="s">
        <v>120</v>
      </c>
      <c r="D126" s="25">
        <v>70.23</v>
      </c>
      <c r="E126" s="21">
        <f>E$125</f>
        <v>80.62</v>
      </c>
      <c r="F126" s="21"/>
      <c r="G126" s="21"/>
      <c r="H126" s="21">
        <f t="shared" si="31"/>
        <v>0.8711237906226743</v>
      </c>
      <c r="I126" s="21"/>
      <c r="J126" s="30">
        <f t="shared" si="33"/>
        <v>15.2</v>
      </c>
      <c r="K126" s="25"/>
      <c r="L126" s="32">
        <v>1.142</v>
      </c>
      <c r="M126" s="53">
        <v>1</v>
      </c>
      <c r="N126" s="31">
        <f t="shared" si="32"/>
        <v>11.59464239707938</v>
      </c>
      <c r="O126" s="36">
        <v>11.58</v>
      </c>
      <c r="P126" s="72">
        <f t="shared" si="30"/>
        <v>0.014642397079379421</v>
      </c>
      <c r="Q126" s="81"/>
    </row>
    <row r="127" spans="2:17" ht="13.5">
      <c r="B127" s="5"/>
      <c r="C127" s="2" t="s">
        <v>209</v>
      </c>
      <c r="D127" s="25">
        <v>67.19</v>
      </c>
      <c r="E127" s="21">
        <f>E$125</f>
        <v>80.62</v>
      </c>
      <c r="F127" s="21"/>
      <c r="G127" s="21"/>
      <c r="H127" s="21">
        <f>D127/E127</f>
        <v>0.8334160258000496</v>
      </c>
      <c r="I127" s="21"/>
      <c r="J127" s="30">
        <f t="shared" si="33"/>
        <v>15.2</v>
      </c>
      <c r="K127" s="25"/>
      <c r="L127" s="46">
        <f>L$126+0.01</f>
        <v>1.152</v>
      </c>
      <c r="M127" s="53">
        <v>1</v>
      </c>
      <c r="N127" s="31">
        <f>(H127)*J127/L127/M127</f>
        <v>10.996461451528432</v>
      </c>
      <c r="O127" s="36">
        <v>11.11</v>
      </c>
      <c r="P127" s="72">
        <f>N127-O127</f>
        <v>-0.11353854847156697</v>
      </c>
      <c r="Q127" s="81"/>
    </row>
    <row r="128" spans="2:17" ht="13.5">
      <c r="B128" s="5"/>
      <c r="C128" s="2" t="s">
        <v>121</v>
      </c>
      <c r="D128" s="25">
        <v>41.97</v>
      </c>
      <c r="E128" s="21">
        <f>E$125</f>
        <v>80.62</v>
      </c>
      <c r="F128" s="21"/>
      <c r="G128" s="21"/>
      <c r="H128" s="21">
        <f t="shared" si="31"/>
        <v>0.5205904242123542</v>
      </c>
      <c r="I128" s="21"/>
      <c r="J128" s="30">
        <f t="shared" si="33"/>
        <v>15.2</v>
      </c>
      <c r="K128" s="25"/>
      <c r="L128" s="46">
        <f>L$126+0.01</f>
        <v>1.152</v>
      </c>
      <c r="M128" s="53">
        <v>1</v>
      </c>
      <c r="N128" s="31">
        <f t="shared" si="32"/>
        <v>6.868901430579674</v>
      </c>
      <c r="O128" s="36">
        <v>6.8</v>
      </c>
      <c r="P128" s="72">
        <f t="shared" si="30"/>
        <v>0.06890143057967446</v>
      </c>
      <c r="Q128" s="81"/>
    </row>
    <row r="129" spans="2:17" ht="13.5">
      <c r="B129" s="5"/>
      <c r="C129" s="2" t="s">
        <v>122</v>
      </c>
      <c r="D129" s="25">
        <v>50.435</v>
      </c>
      <c r="E129" s="21">
        <f>E$125</f>
        <v>80.62</v>
      </c>
      <c r="F129" s="21"/>
      <c r="G129" s="21"/>
      <c r="H129" s="21">
        <f t="shared" si="31"/>
        <v>0.6255891838253536</v>
      </c>
      <c r="I129" s="21"/>
      <c r="J129" s="30">
        <f t="shared" si="33"/>
        <v>15.2</v>
      </c>
      <c r="K129" s="25"/>
      <c r="L129" s="46">
        <f>L$126+0.01</f>
        <v>1.152</v>
      </c>
      <c r="M129" s="53">
        <v>1</v>
      </c>
      <c r="N129" s="31">
        <f t="shared" si="32"/>
        <v>8.25430173102897</v>
      </c>
      <c r="O129" s="40">
        <v>8.2</v>
      </c>
      <c r="P129" s="30">
        <f t="shared" si="30"/>
        <v>0.05430173102897129</v>
      </c>
      <c r="Q129" s="81"/>
    </row>
    <row r="130" spans="2:17" ht="13.5">
      <c r="B130" s="5"/>
      <c r="C130" s="2" t="s">
        <v>168</v>
      </c>
      <c r="D130" s="25">
        <v>57.01</v>
      </c>
      <c r="E130" s="21">
        <f>E$125</f>
        <v>80.62</v>
      </c>
      <c r="F130" s="21"/>
      <c r="G130" s="21"/>
      <c r="H130" s="21">
        <f>D130/E130</f>
        <v>0.7071446291242867</v>
      </c>
      <c r="I130" s="21"/>
      <c r="J130" s="30">
        <f t="shared" si="33"/>
        <v>15.2</v>
      </c>
      <c r="K130" s="25"/>
      <c r="L130" s="46">
        <f>L$126+0.01</f>
        <v>1.152</v>
      </c>
      <c r="M130" s="53">
        <v>1</v>
      </c>
      <c r="N130" s="31">
        <f>(H130)*J130/L130/M130</f>
        <v>9.33038052316767</v>
      </c>
      <c r="O130" s="40">
        <v>9.25</v>
      </c>
      <c r="P130" s="30">
        <f>N130-O130</f>
        <v>0.08038052316767086</v>
      </c>
      <c r="Q130" s="81"/>
    </row>
    <row r="131" spans="2:17" ht="13.5">
      <c r="B131" s="5"/>
      <c r="C131" s="2" t="s">
        <v>208</v>
      </c>
      <c r="D131" s="25">
        <v>13.5</v>
      </c>
      <c r="E131" s="21">
        <f>D131+19.57</f>
        <v>33.07</v>
      </c>
      <c r="F131" s="21"/>
      <c r="G131" s="21"/>
      <c r="H131" s="21">
        <f>D131/E131</f>
        <v>0.40822497732083457</v>
      </c>
      <c r="I131" s="21"/>
      <c r="J131" s="40">
        <v>10.8</v>
      </c>
      <c r="K131" s="25"/>
      <c r="L131" s="32">
        <f>1.19/1.15</f>
        <v>1.0347826086956522</v>
      </c>
      <c r="M131" s="53">
        <v>1</v>
      </c>
      <c r="N131" s="31">
        <f>(H131)*J131/L131/M131</f>
        <v>4.260633796911568</v>
      </c>
      <c r="O131" s="36"/>
      <c r="P131" s="30">
        <f>N131-O131</f>
        <v>4.260633796911568</v>
      </c>
      <c r="Q131" s="81"/>
    </row>
    <row r="132" spans="2:17" ht="13.5">
      <c r="B132" s="5"/>
      <c r="C132" s="2"/>
      <c r="D132" s="25"/>
      <c r="E132" s="21"/>
      <c r="F132" s="21"/>
      <c r="G132" s="21"/>
      <c r="H132" s="21"/>
      <c r="I132" s="21"/>
      <c r="J132" s="30"/>
      <c r="K132" s="25"/>
      <c r="L132" s="32"/>
      <c r="M132" s="53"/>
      <c r="N132" s="35"/>
      <c r="O132" s="36"/>
      <c r="P132" s="30"/>
      <c r="Q132" s="81"/>
    </row>
    <row r="133" spans="2:17" ht="13.5">
      <c r="B133" s="5"/>
      <c r="C133" s="2"/>
      <c r="D133" s="25"/>
      <c r="E133" s="21"/>
      <c r="F133" s="21"/>
      <c r="G133" s="21"/>
      <c r="H133" s="21"/>
      <c r="I133" s="21"/>
      <c r="J133" s="30"/>
      <c r="K133" s="25"/>
      <c r="L133" s="46"/>
      <c r="M133" s="53"/>
      <c r="N133" s="35"/>
      <c r="O133" s="36"/>
      <c r="P133" s="30"/>
      <c r="Q133" s="81"/>
    </row>
    <row r="134" spans="2:17" ht="13.5">
      <c r="B134" s="5" t="s">
        <v>45</v>
      </c>
      <c r="C134" s="13" t="s">
        <v>44</v>
      </c>
      <c r="D134" s="34">
        <v>55.02</v>
      </c>
      <c r="E134" s="47">
        <v>59.57</v>
      </c>
      <c r="F134" s="34"/>
      <c r="G134" s="34"/>
      <c r="H134" s="48">
        <f>D134/E134</f>
        <v>0.9236192714453585</v>
      </c>
      <c r="I134" s="48"/>
      <c r="J134" s="30">
        <f>O$4-O$21*2</f>
        <v>14.399999999999999</v>
      </c>
      <c r="K134" s="49"/>
      <c r="L134" s="43">
        <v>1.025</v>
      </c>
      <c r="M134" s="27">
        <v>1</v>
      </c>
      <c r="N134" s="31">
        <f>(H134)*J134/L134/M134</f>
        <v>12.97572439884211</v>
      </c>
      <c r="O134" s="36">
        <v>13</v>
      </c>
      <c r="P134" s="30">
        <f>N134-O134</f>
        <v>-0.024275601157890847</v>
      </c>
      <c r="Q134" s="81"/>
    </row>
    <row r="135" spans="2:17" ht="13.5">
      <c r="B135" s="5"/>
      <c r="C135" s="50" t="s">
        <v>50</v>
      </c>
      <c r="D135" s="21">
        <f>O$12</f>
        <v>10</v>
      </c>
      <c r="E135" s="5">
        <v>71.89</v>
      </c>
      <c r="F135" s="5"/>
      <c r="G135" s="5"/>
      <c r="H135" s="21">
        <f>D135/E135</f>
        <v>0.13910140492418974</v>
      </c>
      <c r="I135" s="21"/>
      <c r="J135" s="30">
        <f>O$30</f>
        <v>12.8</v>
      </c>
      <c r="K135" s="24"/>
      <c r="L135" s="32">
        <v>1.005</v>
      </c>
      <c r="M135" s="27">
        <v>1</v>
      </c>
      <c r="N135" s="31">
        <f>(H135)*J135/L135/M135</f>
        <v>1.7716397841090836</v>
      </c>
      <c r="O135" s="36">
        <v>1.9</v>
      </c>
      <c r="P135" s="30">
        <f>N135-O135</f>
        <v>-0.12836021589091628</v>
      </c>
      <c r="Q135" s="81"/>
    </row>
    <row r="136" spans="2:17" ht="13.5">
      <c r="B136" s="5"/>
      <c r="C136" s="34"/>
      <c r="D136" s="5"/>
      <c r="E136" s="25"/>
      <c r="F136" s="5"/>
      <c r="G136" s="5"/>
      <c r="H136" s="21"/>
      <c r="I136" s="21"/>
      <c r="J136" s="30"/>
      <c r="K136" s="25"/>
      <c r="L136" s="32"/>
      <c r="M136" s="40"/>
      <c r="N136" s="41"/>
      <c r="O136" s="36"/>
      <c r="P136" s="30"/>
      <c r="Q136" s="81"/>
    </row>
    <row r="137" spans="2:17" ht="13.5">
      <c r="B137" s="5" t="s">
        <v>32</v>
      </c>
      <c r="C137" s="5" t="s">
        <v>46</v>
      </c>
      <c r="D137" s="5">
        <v>3.766</v>
      </c>
      <c r="E137" s="25">
        <v>102.811</v>
      </c>
      <c r="F137" s="5">
        <v>3.603</v>
      </c>
      <c r="G137" s="21">
        <f>E$137</f>
        <v>102.811</v>
      </c>
      <c r="H137" s="21">
        <f>D137/E137</f>
        <v>0.036630321658188324</v>
      </c>
      <c r="I137" s="21">
        <f>F137/G137</f>
        <v>0.035044888192897646</v>
      </c>
      <c r="J137" s="40">
        <v>100.9</v>
      </c>
      <c r="K137" s="24">
        <v>0.5</v>
      </c>
      <c r="L137" s="32">
        <v>0.9</v>
      </c>
      <c r="M137" s="17">
        <f>1/SIN(60/180*3.14)</f>
        <v>1.1550547327147562</v>
      </c>
      <c r="N137" s="37">
        <f>(H137*K137+I137*(1-K137))*J137/L137/M137</f>
        <v>3.4784444355468107</v>
      </c>
      <c r="O137" s="36">
        <v>3.3</v>
      </c>
      <c r="P137" s="72">
        <f>N137-O137</f>
        <v>0.1784444355468109</v>
      </c>
      <c r="Q137" s="81"/>
    </row>
    <row r="138" spans="2:17" ht="13.5">
      <c r="B138" s="5"/>
      <c r="C138" s="5" t="s">
        <v>47</v>
      </c>
      <c r="D138" s="5">
        <v>4.319</v>
      </c>
      <c r="E138" s="21">
        <f>E$137</f>
        <v>102.811</v>
      </c>
      <c r="F138" s="5">
        <v>4.097</v>
      </c>
      <c r="G138" s="21">
        <f>E$137</f>
        <v>102.811</v>
      </c>
      <c r="H138" s="21">
        <f>D138/E138</f>
        <v>0.042009123537364676</v>
      </c>
      <c r="I138" s="21">
        <f>F138/G138</f>
        <v>0.039849821517152835</v>
      </c>
      <c r="J138" s="30">
        <f>J$137</f>
        <v>100.9</v>
      </c>
      <c r="K138" s="24">
        <v>0.5</v>
      </c>
      <c r="L138" s="32">
        <v>0.9</v>
      </c>
      <c r="M138" s="17">
        <f>1/SIN(60/180*3.14)</f>
        <v>1.1550547327147562</v>
      </c>
      <c r="N138" s="37">
        <f>(H138*K138+I138*(1-K138))*J138/L138/M138</f>
        <v>3.9726677119774676</v>
      </c>
      <c r="O138" s="36">
        <v>3.8</v>
      </c>
      <c r="P138" s="72">
        <f>N138-O138</f>
        <v>0.17266771197746777</v>
      </c>
      <c r="Q138" s="81"/>
    </row>
    <row r="139" spans="2:17" ht="13.5">
      <c r="B139" s="5"/>
      <c r="C139" s="5" t="s">
        <v>46</v>
      </c>
      <c r="D139" s="5">
        <v>3.766</v>
      </c>
      <c r="E139" s="25">
        <v>21.253</v>
      </c>
      <c r="F139" s="5">
        <v>3.603</v>
      </c>
      <c r="G139" s="21">
        <f>E$139</f>
        <v>21.253</v>
      </c>
      <c r="H139" s="21">
        <f>D139/E139</f>
        <v>0.17719851315108456</v>
      </c>
      <c r="I139" s="21">
        <f>F139/G139</f>
        <v>0.1695290076695055</v>
      </c>
      <c r="J139" s="40">
        <v>22.3</v>
      </c>
      <c r="K139" s="24">
        <v>0.5</v>
      </c>
      <c r="L139" s="32">
        <v>1</v>
      </c>
      <c r="M139" s="17">
        <f>1/SIN(60/180*3.14)</f>
        <v>1.1550547327147562</v>
      </c>
      <c r="N139" s="37">
        <f>(H139*K139+I139*(1-K139))*J139/L139/M139</f>
        <v>3.3470378049213196</v>
      </c>
      <c r="O139" s="36">
        <v>3.3</v>
      </c>
      <c r="P139" s="30">
        <f>N139-O139</f>
        <v>0.047037804921319815</v>
      </c>
      <c r="Q139" s="81"/>
    </row>
    <row r="140" spans="2:17" ht="13.5">
      <c r="B140" s="5"/>
      <c r="C140" s="5" t="s">
        <v>47</v>
      </c>
      <c r="D140" s="5">
        <v>4.319</v>
      </c>
      <c r="E140" s="21">
        <f>E$139</f>
        <v>21.253</v>
      </c>
      <c r="F140" s="5">
        <v>4.097</v>
      </c>
      <c r="G140" s="21">
        <f>E$139</f>
        <v>21.253</v>
      </c>
      <c r="H140" s="21">
        <f>D140/E140</f>
        <v>0.2032183691714111</v>
      </c>
      <c r="I140" s="21">
        <f>F140/G140</f>
        <v>0.19277278501858564</v>
      </c>
      <c r="J140" s="30">
        <f>J$139</f>
        <v>22.3</v>
      </c>
      <c r="K140" s="24">
        <v>0.5</v>
      </c>
      <c r="L140" s="32">
        <v>1</v>
      </c>
      <c r="M140" s="17">
        <f>1/SIN(60/180*3.14)</f>
        <v>1.1550547327147562</v>
      </c>
      <c r="N140" s="37">
        <f>(H140*K140+I140*(1-K140))*J140/L140/M140</f>
        <v>3.8225906047249056</v>
      </c>
      <c r="O140" s="58">
        <v>3.8</v>
      </c>
      <c r="P140" s="30">
        <f>N140-O140</f>
        <v>0.022590604724905816</v>
      </c>
      <c r="Q140" s="81"/>
    </row>
    <row r="141" spans="2:17" ht="13.5">
      <c r="B141" s="5"/>
      <c r="C141" s="5"/>
      <c r="D141" s="5"/>
      <c r="E141" s="25"/>
      <c r="F141" s="5"/>
      <c r="G141" s="5"/>
      <c r="H141" s="21"/>
      <c r="I141" s="21"/>
      <c r="J141" s="30"/>
      <c r="K141" s="25"/>
      <c r="L141" s="32"/>
      <c r="M141" s="40"/>
      <c r="N141" s="41"/>
      <c r="O141" s="36"/>
      <c r="P141" s="30"/>
      <c r="Q141" s="81"/>
    </row>
    <row r="142" spans="2:17" ht="13.5">
      <c r="B142" s="5" t="s">
        <v>53</v>
      </c>
      <c r="C142" s="5" t="s">
        <v>54</v>
      </c>
      <c r="D142" s="5">
        <v>5.09</v>
      </c>
      <c r="E142" s="25">
        <v>4.39</v>
      </c>
      <c r="F142" s="5"/>
      <c r="G142" s="21"/>
      <c r="H142" s="21">
        <f>D142/E142</f>
        <v>1.1594533029612757</v>
      </c>
      <c r="I142" s="21"/>
      <c r="J142" s="30">
        <f>O$36</f>
        <v>3.3</v>
      </c>
      <c r="K142" s="24"/>
      <c r="L142" s="32">
        <v>1.005</v>
      </c>
      <c r="M142" s="27">
        <v>1</v>
      </c>
      <c r="N142" s="31">
        <f>(H142)*J142/L142/M142</f>
        <v>3.8071600992758308</v>
      </c>
      <c r="O142" s="36">
        <v>3.8</v>
      </c>
      <c r="P142" s="30">
        <f>N142-O142</f>
        <v>0.0071600992758309445</v>
      </c>
      <c r="Q142" s="81"/>
    </row>
    <row r="143" spans="2:17" ht="13.5">
      <c r="B143" s="5"/>
      <c r="C143" s="5"/>
      <c r="D143" s="5"/>
      <c r="E143" s="25"/>
      <c r="F143" s="5"/>
      <c r="G143" s="21"/>
      <c r="H143" s="21"/>
      <c r="I143" s="21"/>
      <c r="J143" s="30"/>
      <c r="K143" s="25"/>
      <c r="L143" s="32"/>
      <c r="M143" s="40"/>
      <c r="N143" s="41"/>
      <c r="O143" s="36"/>
      <c r="P143" s="30"/>
      <c r="Q143" s="81"/>
    </row>
    <row r="144" spans="2:17" ht="13.5">
      <c r="B144" s="5" t="s">
        <v>110</v>
      </c>
      <c r="C144" s="5" t="s">
        <v>112</v>
      </c>
      <c r="D144" s="5">
        <v>7.3</v>
      </c>
      <c r="E144" s="25">
        <v>39.08</v>
      </c>
      <c r="F144" s="5"/>
      <c r="G144" s="21"/>
      <c r="H144" s="21">
        <f>D144/E144</f>
        <v>0.18679631525076765</v>
      </c>
      <c r="I144" s="21"/>
      <c r="J144" s="40">
        <v>3.56</v>
      </c>
      <c r="K144" s="25"/>
      <c r="L144" s="32">
        <v>0.94</v>
      </c>
      <c r="M144" s="40">
        <v>0.97</v>
      </c>
      <c r="N144" s="31">
        <f>(H144)*J144/L144/M144</f>
        <v>0.7293209939600054</v>
      </c>
      <c r="O144" s="36">
        <v>0.71</v>
      </c>
      <c r="P144" s="30">
        <f>N144-O144</f>
        <v>0.019320993960005417</v>
      </c>
      <c r="Q144" s="81"/>
    </row>
    <row r="145" spans="2:17" ht="13.5">
      <c r="B145" s="5" t="s">
        <v>111</v>
      </c>
      <c r="C145" s="5" t="s">
        <v>113</v>
      </c>
      <c r="D145" s="5">
        <v>13.31</v>
      </c>
      <c r="E145" s="21">
        <f>E$144</f>
        <v>39.08</v>
      </c>
      <c r="F145" s="5"/>
      <c r="G145" s="21"/>
      <c r="H145" s="21">
        <f>D145/E145</f>
        <v>0.3405834186284545</v>
      </c>
      <c r="I145" s="21"/>
      <c r="J145" s="30">
        <f>J$144</f>
        <v>3.56</v>
      </c>
      <c r="K145" s="25"/>
      <c r="L145" s="32">
        <v>0.98</v>
      </c>
      <c r="M145" s="40">
        <v>0.99</v>
      </c>
      <c r="N145" s="31">
        <f>(H145)*J145/L145/M145</f>
        <v>1.2497185841241991</v>
      </c>
      <c r="O145" s="58">
        <v>1.25</v>
      </c>
      <c r="P145" s="30">
        <f>N145-O145</f>
        <v>-0.00028141587580088334</v>
      </c>
      <c r="Q145" s="81"/>
    </row>
    <row r="146" spans="2:17" ht="13.5">
      <c r="B146" s="5"/>
      <c r="C146" s="5" t="s">
        <v>114</v>
      </c>
      <c r="D146" s="5">
        <v>6.88</v>
      </c>
      <c r="E146" s="21">
        <f>E$144</f>
        <v>39.08</v>
      </c>
      <c r="F146" s="5"/>
      <c r="G146" s="21"/>
      <c r="H146" s="21">
        <f>D146/E146</f>
        <v>0.1760491299897646</v>
      </c>
      <c r="I146" s="21"/>
      <c r="J146" s="30">
        <f>J$144</f>
        <v>3.56</v>
      </c>
      <c r="K146" s="25"/>
      <c r="L146" s="32">
        <v>1.02</v>
      </c>
      <c r="M146" s="40">
        <v>1.01</v>
      </c>
      <c r="N146" s="31">
        <f>(H146)*J146/L146/M146</f>
        <v>0.6083623595064668</v>
      </c>
      <c r="O146" s="36">
        <v>0.6</v>
      </c>
      <c r="P146" s="30">
        <f>N146-O146</f>
        <v>0.008362359506466799</v>
      </c>
      <c r="Q146" s="81"/>
    </row>
    <row r="147" spans="2:17" ht="13.5">
      <c r="B147" s="5"/>
      <c r="C147" s="5" t="s">
        <v>115</v>
      </c>
      <c r="D147" s="5">
        <v>11.59</v>
      </c>
      <c r="E147" s="21">
        <f>E$144</f>
        <v>39.08</v>
      </c>
      <c r="F147" s="5"/>
      <c r="G147" s="21"/>
      <c r="H147" s="21">
        <f>D147/E147</f>
        <v>0.2965711361310133</v>
      </c>
      <c r="I147" s="21"/>
      <c r="J147" s="30">
        <f>J$144</f>
        <v>3.56</v>
      </c>
      <c r="K147" s="25"/>
      <c r="L147" s="32">
        <v>1.06</v>
      </c>
      <c r="M147" s="40">
        <v>1.03</v>
      </c>
      <c r="N147" s="31">
        <f>(H147)*J147/L147/M147</f>
        <v>0.9670207406360207</v>
      </c>
      <c r="O147" s="36">
        <v>1</v>
      </c>
      <c r="P147" s="30">
        <f>N147-O147</f>
        <v>-0.032979259363979274</v>
      </c>
      <c r="Q147" s="81"/>
    </row>
    <row r="148" spans="2:17" ht="13.5">
      <c r="B148" s="5"/>
      <c r="C148" s="5" t="s">
        <v>123</v>
      </c>
      <c r="D148" s="5"/>
      <c r="E148" s="25"/>
      <c r="F148" s="5"/>
      <c r="G148" s="21"/>
      <c r="H148" s="21"/>
      <c r="I148" s="21"/>
      <c r="J148" s="30"/>
      <c r="K148" s="25"/>
      <c r="L148" s="32"/>
      <c r="M148" s="40"/>
      <c r="N148" s="65">
        <f>SUM(N144:N147)</f>
        <v>3.554422678226692</v>
      </c>
      <c r="O148" s="66">
        <f>SUM(O144:O147)</f>
        <v>3.56</v>
      </c>
      <c r="P148" s="30">
        <f>N148-O148</f>
        <v>-0.005577321773308164</v>
      </c>
      <c r="Q148" s="81"/>
    </row>
    <row r="149" spans="2:17" ht="13.5">
      <c r="B149" s="5"/>
      <c r="C149" s="5" t="s">
        <v>125</v>
      </c>
      <c r="D149" s="5">
        <v>11.25</v>
      </c>
      <c r="E149" s="25">
        <v>15.79</v>
      </c>
      <c r="F149" s="5"/>
      <c r="G149" s="21"/>
      <c r="H149" s="21">
        <f aca="true" t="shared" si="34" ref="H149:H156">D149/E149</f>
        <v>0.7124762507916403</v>
      </c>
      <c r="I149" s="21"/>
      <c r="J149" s="30">
        <f>O$145</f>
        <v>1.25</v>
      </c>
      <c r="K149" s="25"/>
      <c r="L149" s="32">
        <v>1</v>
      </c>
      <c r="M149" s="40">
        <v>1</v>
      </c>
      <c r="N149" s="31">
        <f aca="true" t="shared" si="35" ref="N149:N156">(H149)*J149/L149/M149</f>
        <v>0.8905953134895505</v>
      </c>
      <c r="O149" s="40">
        <v>0.9</v>
      </c>
      <c r="P149" s="30">
        <f aca="true" t="shared" si="36" ref="P149:P162">N149-O149</f>
        <v>-0.009404686510449567</v>
      </c>
      <c r="Q149" s="81"/>
    </row>
    <row r="150" spans="2:17" ht="13.5">
      <c r="B150" s="5"/>
      <c r="C150" s="5" t="s">
        <v>126</v>
      </c>
      <c r="D150" s="5">
        <v>1.9</v>
      </c>
      <c r="E150" s="25">
        <v>15.79</v>
      </c>
      <c r="F150" s="5"/>
      <c r="G150" s="21"/>
      <c r="H150" s="21">
        <f t="shared" si="34"/>
        <v>0.12032932235592148</v>
      </c>
      <c r="I150" s="21"/>
      <c r="J150" s="30">
        <f>O$145</f>
        <v>1.25</v>
      </c>
      <c r="K150" s="25"/>
      <c r="L150" s="32">
        <v>1</v>
      </c>
      <c r="M150" s="40">
        <v>1</v>
      </c>
      <c r="N150" s="31">
        <f t="shared" si="35"/>
        <v>0.15041165294490183</v>
      </c>
      <c r="O150" s="40">
        <v>0.15</v>
      </c>
      <c r="P150" s="30">
        <f t="shared" si="36"/>
        <v>0.0004116529449018358</v>
      </c>
      <c r="Q150" s="81"/>
    </row>
    <row r="151" spans="2:17" ht="13.5">
      <c r="B151" s="5"/>
      <c r="C151" s="5" t="s">
        <v>127</v>
      </c>
      <c r="D151" s="5">
        <v>2.61</v>
      </c>
      <c r="E151" s="25">
        <v>15.79</v>
      </c>
      <c r="F151" s="5"/>
      <c r="G151" s="21"/>
      <c r="H151" s="21">
        <f t="shared" si="34"/>
        <v>0.16529449018366055</v>
      </c>
      <c r="I151" s="21"/>
      <c r="J151" s="30">
        <f>O$145</f>
        <v>1.25</v>
      </c>
      <c r="K151" s="25"/>
      <c r="L151" s="32">
        <v>1</v>
      </c>
      <c r="M151" s="40">
        <v>1</v>
      </c>
      <c r="N151" s="31">
        <f t="shared" si="35"/>
        <v>0.2066181127295757</v>
      </c>
      <c r="O151" s="40">
        <v>0.2</v>
      </c>
      <c r="P151" s="30">
        <f t="shared" si="36"/>
        <v>0.006618112729575687</v>
      </c>
      <c r="Q151" s="81"/>
    </row>
    <row r="152" spans="2:17" ht="13.5">
      <c r="B152" s="5"/>
      <c r="C152" s="5" t="s">
        <v>124</v>
      </c>
      <c r="D152" s="5">
        <v>12.8</v>
      </c>
      <c r="E152" s="25">
        <v>15.2</v>
      </c>
      <c r="F152" s="5"/>
      <c r="G152" s="21"/>
      <c r="H152" s="21">
        <f t="shared" si="34"/>
        <v>0.8421052631578948</v>
      </c>
      <c r="I152" s="21"/>
      <c r="J152" s="30">
        <f>O$145</f>
        <v>1.25</v>
      </c>
      <c r="K152" s="25"/>
      <c r="L152" s="32">
        <v>1</v>
      </c>
      <c r="M152" s="40">
        <v>1</v>
      </c>
      <c r="N152" s="31">
        <f t="shared" si="35"/>
        <v>1.0526315789473686</v>
      </c>
      <c r="O152" s="67">
        <v>1.05</v>
      </c>
      <c r="P152" s="30">
        <f t="shared" si="36"/>
        <v>0.0026315789473685403</v>
      </c>
      <c r="Q152" s="81"/>
    </row>
    <row r="153" spans="2:17" ht="13.5">
      <c r="B153" s="5"/>
      <c r="C153" s="69" t="s">
        <v>139</v>
      </c>
      <c r="D153" s="5">
        <v>32.21</v>
      </c>
      <c r="E153" s="25">
        <v>12.14</v>
      </c>
      <c r="F153" s="5"/>
      <c r="G153" s="21"/>
      <c r="H153" s="21">
        <f t="shared" si="34"/>
        <v>2.6532125205930805</v>
      </c>
      <c r="I153" s="21"/>
      <c r="J153" s="30">
        <f>O$158</f>
        <v>1.2</v>
      </c>
      <c r="K153" s="25"/>
      <c r="L153" s="46">
        <f>0.94/0.97</f>
        <v>0.9690721649484536</v>
      </c>
      <c r="M153" s="40">
        <v>1</v>
      </c>
      <c r="N153" s="31">
        <f t="shared" si="35"/>
        <v>3.285467419117389</v>
      </c>
      <c r="O153" s="67">
        <v>3.3</v>
      </c>
      <c r="P153" s="72">
        <f t="shared" si="36"/>
        <v>-0.01453258088261089</v>
      </c>
      <c r="Q153" s="81" t="s">
        <v>145</v>
      </c>
    </row>
    <row r="154" spans="2:17" ht="13.5">
      <c r="B154" s="5"/>
      <c r="C154" s="70" t="s">
        <v>130</v>
      </c>
      <c r="D154" s="5">
        <v>7.82</v>
      </c>
      <c r="E154" s="21">
        <f>E153</f>
        <v>12.14</v>
      </c>
      <c r="F154" s="5"/>
      <c r="G154" s="21"/>
      <c r="H154" s="21">
        <f t="shared" si="34"/>
        <v>0.6441515650741351</v>
      </c>
      <c r="I154" s="21"/>
      <c r="J154" s="30">
        <f>O$158</f>
        <v>1.2</v>
      </c>
      <c r="K154" s="25"/>
      <c r="L154" s="46">
        <v>1.01</v>
      </c>
      <c r="M154" s="40">
        <v>1</v>
      </c>
      <c r="N154" s="31">
        <f t="shared" si="35"/>
        <v>0.7653285921672891</v>
      </c>
      <c r="O154" s="40">
        <v>0.75</v>
      </c>
      <c r="P154" s="30">
        <f t="shared" si="36"/>
        <v>0.015328592167289101</v>
      </c>
      <c r="Q154" s="81"/>
    </row>
    <row r="155" spans="2:17" ht="13.5">
      <c r="B155" s="5"/>
      <c r="C155" s="5" t="s">
        <v>144</v>
      </c>
      <c r="D155" s="5">
        <v>7.25</v>
      </c>
      <c r="E155" s="21">
        <f>D155+11.18</f>
        <v>18.43</v>
      </c>
      <c r="F155" s="5"/>
      <c r="G155" s="21"/>
      <c r="H155" s="21">
        <f t="shared" si="34"/>
        <v>0.3933803581117743</v>
      </c>
      <c r="I155" s="21"/>
      <c r="J155" s="40">
        <v>3.4</v>
      </c>
      <c r="K155" s="25"/>
      <c r="L155" s="54">
        <f>0.98/0.94</f>
        <v>1.0425531914893618</v>
      </c>
      <c r="M155" s="40">
        <v>1</v>
      </c>
      <c r="N155" s="31">
        <f t="shared" si="35"/>
        <v>1.2829016576788066</v>
      </c>
      <c r="O155" s="40">
        <v>1.28</v>
      </c>
      <c r="P155" s="30">
        <f t="shared" si="36"/>
        <v>0.0029016576788065684</v>
      </c>
      <c r="Q155" s="81" t="s">
        <v>143</v>
      </c>
    </row>
    <row r="156" spans="2:17" ht="13.5">
      <c r="B156" s="5"/>
      <c r="C156" s="5" t="s">
        <v>131</v>
      </c>
      <c r="D156" s="5">
        <v>8.89</v>
      </c>
      <c r="E156" s="21">
        <f>D153</f>
        <v>32.21</v>
      </c>
      <c r="F156" s="5"/>
      <c r="G156" s="21"/>
      <c r="H156" s="21">
        <f t="shared" si="34"/>
        <v>0.276001241850357</v>
      </c>
      <c r="I156" s="21"/>
      <c r="J156" s="30">
        <f>O$153</f>
        <v>3.3</v>
      </c>
      <c r="K156" s="25"/>
      <c r="L156" s="54">
        <v>1.01</v>
      </c>
      <c r="M156" s="40">
        <v>1</v>
      </c>
      <c r="N156" s="31">
        <f t="shared" si="35"/>
        <v>0.9017862357486912</v>
      </c>
      <c r="O156" s="40">
        <v>0.9</v>
      </c>
      <c r="P156" s="30">
        <f t="shared" si="36"/>
        <v>0.0017862357486911895</v>
      </c>
      <c r="Q156" s="81"/>
    </row>
    <row r="157" spans="2:17" ht="13.5">
      <c r="B157" s="5"/>
      <c r="C157" s="5"/>
      <c r="D157" s="5"/>
      <c r="E157" s="21"/>
      <c r="F157" s="5"/>
      <c r="G157" s="21"/>
      <c r="H157" s="21"/>
      <c r="I157" s="21"/>
      <c r="J157" s="30"/>
      <c r="K157" s="25"/>
      <c r="L157" s="54"/>
      <c r="M157" s="40"/>
      <c r="N157" s="41"/>
      <c r="O157" s="40"/>
      <c r="P157" s="30"/>
      <c r="Q157" s="81"/>
    </row>
    <row r="158" spans="2:17" ht="13.5">
      <c r="B158" s="5" t="s">
        <v>128</v>
      </c>
      <c r="C158" s="5" t="s">
        <v>137</v>
      </c>
      <c r="D158" s="25">
        <v>26.4</v>
      </c>
      <c r="E158" s="5">
        <v>23.2</v>
      </c>
      <c r="F158" s="5"/>
      <c r="G158" s="5"/>
      <c r="H158" s="21">
        <f>D158/E158</f>
        <v>1.1379310344827587</v>
      </c>
      <c r="I158" s="21"/>
      <c r="J158" s="30">
        <f>O$152</f>
        <v>1.05</v>
      </c>
      <c r="K158" s="25"/>
      <c r="L158" s="32">
        <v>1</v>
      </c>
      <c r="M158" s="40">
        <v>1</v>
      </c>
      <c r="N158" s="31">
        <f>(H158)*J158/L158/M158</f>
        <v>1.1948275862068967</v>
      </c>
      <c r="O158" s="58">
        <v>1.2</v>
      </c>
      <c r="P158" s="30">
        <f t="shared" si="36"/>
        <v>-0.005172413793103292</v>
      </c>
      <c r="Q158" s="81" t="s">
        <v>138</v>
      </c>
    </row>
    <row r="159" spans="2:17" ht="13.5">
      <c r="B159" s="5"/>
      <c r="C159" s="70" t="s">
        <v>129</v>
      </c>
      <c r="D159" s="5">
        <v>16.5</v>
      </c>
      <c r="E159" s="21">
        <f>D$158</f>
        <v>26.4</v>
      </c>
      <c r="F159" s="5"/>
      <c r="G159" s="21"/>
      <c r="H159" s="21">
        <f>D159/E159</f>
        <v>0.625</v>
      </c>
      <c r="I159" s="21"/>
      <c r="J159" s="30">
        <f>O$158</f>
        <v>1.2</v>
      </c>
      <c r="K159" s="25"/>
      <c r="L159" s="54">
        <v>1</v>
      </c>
      <c r="M159" s="71">
        <v>0.995</v>
      </c>
      <c r="N159" s="31">
        <f>(H159)*J159/L159/M159</f>
        <v>0.7537688442211056</v>
      </c>
      <c r="O159" s="40">
        <v>0.75</v>
      </c>
      <c r="P159" s="30">
        <f t="shared" si="36"/>
        <v>0.0037688442211055717</v>
      </c>
      <c r="Q159" s="81" t="s">
        <v>141</v>
      </c>
    </row>
    <row r="160" spans="2:17" ht="13.5">
      <c r="B160" s="5"/>
      <c r="C160" s="69" t="s">
        <v>140</v>
      </c>
      <c r="D160" s="21">
        <f>D159+52.66</f>
        <v>69.16</v>
      </c>
      <c r="E160" s="21">
        <f>D$158</f>
        <v>26.4</v>
      </c>
      <c r="F160" s="5"/>
      <c r="G160" s="21"/>
      <c r="H160" s="21">
        <f>D160/E160</f>
        <v>2.6196969696969696</v>
      </c>
      <c r="I160" s="21"/>
      <c r="J160" s="30">
        <f>O$158</f>
        <v>1.2</v>
      </c>
      <c r="K160" s="25"/>
      <c r="L160" s="54">
        <v>1</v>
      </c>
      <c r="M160" s="40">
        <v>0.97</v>
      </c>
      <c r="N160" s="31">
        <f>(H160)*J160/L160/M160</f>
        <v>3.240862230552952</v>
      </c>
      <c r="O160" s="40">
        <v>3.37</v>
      </c>
      <c r="P160" s="72">
        <f t="shared" si="36"/>
        <v>-0.1291377694470479</v>
      </c>
      <c r="Q160" s="81" t="s">
        <v>145</v>
      </c>
    </row>
    <row r="161" spans="2:17" ht="13.5">
      <c r="B161" s="5"/>
      <c r="C161" s="5"/>
      <c r="D161" s="21"/>
      <c r="E161" s="21"/>
      <c r="F161" s="5"/>
      <c r="G161" s="21"/>
      <c r="H161" s="21"/>
      <c r="I161" s="21"/>
      <c r="J161" s="40"/>
      <c r="K161" s="25"/>
      <c r="L161" s="54"/>
      <c r="M161" s="40"/>
      <c r="N161" s="35"/>
      <c r="O161" s="40"/>
      <c r="P161" s="30"/>
      <c r="Q161" s="81"/>
    </row>
    <row r="162" spans="2:17" ht="13.5">
      <c r="B162" s="5" t="s">
        <v>135</v>
      </c>
      <c r="C162" s="5" t="s">
        <v>136</v>
      </c>
      <c r="D162" s="5">
        <v>1.79</v>
      </c>
      <c r="E162" s="21">
        <f>D162+19.6</f>
        <v>21.39</v>
      </c>
      <c r="F162" s="5"/>
      <c r="G162" s="21"/>
      <c r="H162" s="21">
        <f>D162/E162</f>
        <v>0.08368396446937822</v>
      </c>
      <c r="I162" s="21"/>
      <c r="J162" s="40">
        <v>3.2</v>
      </c>
      <c r="K162" s="25"/>
      <c r="L162" s="54">
        <v>1</v>
      </c>
      <c r="M162" s="40">
        <v>1</v>
      </c>
      <c r="N162" s="31">
        <f>(H162)*J162/L162/M162</f>
        <v>0.2677886863020103</v>
      </c>
      <c r="O162" s="40">
        <v>0.25</v>
      </c>
      <c r="P162" s="30">
        <f t="shared" si="36"/>
        <v>0.017788686302010304</v>
      </c>
      <c r="Q162" s="81" t="s">
        <v>143</v>
      </c>
    </row>
    <row r="163" spans="2:17" ht="13.5">
      <c r="B163" s="5"/>
      <c r="C163" s="5"/>
      <c r="D163" s="5"/>
      <c r="E163" s="21"/>
      <c r="F163" s="5"/>
      <c r="G163" s="21"/>
      <c r="H163" s="21"/>
      <c r="I163" s="21"/>
      <c r="J163" s="40"/>
      <c r="K163" s="25"/>
      <c r="L163" s="54"/>
      <c r="M163" s="40"/>
      <c r="N163" s="35"/>
      <c r="O163" s="40"/>
      <c r="P163" s="30"/>
      <c r="Q163" s="81"/>
    </row>
    <row r="164" spans="2:17" ht="13.5">
      <c r="B164" s="5"/>
      <c r="C164" s="5"/>
      <c r="D164" s="5"/>
      <c r="E164" s="21"/>
      <c r="F164" s="5"/>
      <c r="G164" s="21"/>
      <c r="H164" s="21"/>
      <c r="I164" s="21"/>
      <c r="J164" s="40"/>
      <c r="K164" s="25"/>
      <c r="L164" s="54"/>
      <c r="M164" s="40"/>
      <c r="N164" s="35"/>
      <c r="O164" s="40"/>
      <c r="P164" s="30"/>
      <c r="Q164" s="81"/>
    </row>
    <row r="165" spans="2:17" ht="13.5">
      <c r="B165" s="5"/>
      <c r="C165" s="5"/>
      <c r="D165" s="5"/>
      <c r="E165" s="21"/>
      <c r="F165" s="5"/>
      <c r="G165" s="21"/>
      <c r="H165" s="21"/>
      <c r="I165" s="21"/>
      <c r="J165" s="40"/>
      <c r="K165" s="25"/>
      <c r="L165" s="54"/>
      <c r="M165" s="40"/>
      <c r="N165" s="35"/>
      <c r="O165" s="40"/>
      <c r="P165" s="30"/>
      <c r="Q165" s="81"/>
    </row>
    <row r="166" spans="2:17" ht="13.5">
      <c r="B166" s="3"/>
      <c r="C166" s="3"/>
      <c r="D166" s="3"/>
      <c r="E166" s="3"/>
      <c r="F166" s="3"/>
      <c r="G166" s="3"/>
      <c r="H166" s="23"/>
      <c r="I166" s="23"/>
      <c r="J166" s="29"/>
      <c r="K166" s="26"/>
      <c r="L166" s="68"/>
      <c r="M166" s="29"/>
      <c r="N166" s="20"/>
      <c r="O166" s="26"/>
      <c r="P166" s="74"/>
      <c r="Q166" s="82"/>
    </row>
  </sheetData>
  <printOptions/>
  <pageMargins left="0.3937007874015748" right="0.3937007874015748" top="0.5905511811023623" bottom="0.3937007874015748" header="0.5118110236220472" footer="0.5118110236220472"/>
  <pageSetup fitToHeight="1" fitToWidth="1" horizontalDpi="1200" verticalDpi="12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1">
      <selection activeCell="B12" sqref="B12"/>
    </sheetView>
  </sheetViews>
  <sheetFormatPr defaultColWidth="9.00390625" defaultRowHeight="13.5"/>
  <cols>
    <col min="1" max="1" width="1.625" style="0" customWidth="1"/>
    <col min="2" max="2" width="26.375" style="0" customWidth="1"/>
    <col min="3" max="3" width="20.25390625" style="0" customWidth="1"/>
  </cols>
  <sheetData>
    <row r="2" ht="14.25">
      <c r="B2" s="39" t="s">
        <v>37</v>
      </c>
    </row>
    <row r="3" spans="2:6" ht="13.5">
      <c r="B3" s="4" t="s">
        <v>1</v>
      </c>
      <c r="C3" s="4" t="s">
        <v>2</v>
      </c>
      <c r="D3" s="4" t="s">
        <v>31</v>
      </c>
      <c r="E3" s="4" t="s">
        <v>4</v>
      </c>
      <c r="F3" s="4" t="s">
        <v>5</v>
      </c>
    </row>
    <row r="4" spans="2:6" ht="13.5">
      <c r="B4" s="1" t="s">
        <v>32</v>
      </c>
      <c r="C4" s="1" t="s">
        <v>35</v>
      </c>
      <c r="D4" s="1">
        <v>74.26</v>
      </c>
      <c r="E4" s="1"/>
      <c r="F4" s="1">
        <v>75</v>
      </c>
    </row>
    <row r="5" spans="2:6" ht="13.5">
      <c r="B5" s="2"/>
      <c r="C5" s="2" t="s">
        <v>34</v>
      </c>
      <c r="D5" s="2">
        <v>72.3</v>
      </c>
      <c r="E5" s="2"/>
      <c r="F5" s="2">
        <v>75</v>
      </c>
    </row>
    <row r="6" spans="2:6" ht="13.5">
      <c r="B6" s="2"/>
      <c r="C6" s="5"/>
      <c r="D6" s="2"/>
      <c r="E6" s="2"/>
      <c r="F6" s="2"/>
    </row>
    <row r="7" spans="2:6" ht="13.5">
      <c r="B7" s="2" t="s">
        <v>36</v>
      </c>
      <c r="C7" s="2" t="s">
        <v>33</v>
      </c>
      <c r="D7" s="2">
        <v>74.28</v>
      </c>
      <c r="E7" s="2"/>
      <c r="F7" s="2">
        <v>75</v>
      </c>
    </row>
    <row r="8" spans="2:6" ht="13.5">
      <c r="B8" s="2"/>
      <c r="C8" s="2" t="s">
        <v>33</v>
      </c>
      <c r="D8" s="2">
        <v>72.98</v>
      </c>
      <c r="E8" s="2"/>
      <c r="F8" s="2">
        <v>75</v>
      </c>
    </row>
    <row r="9" spans="2:6" ht="13.5">
      <c r="B9" s="2"/>
      <c r="C9" s="2"/>
      <c r="D9" s="2"/>
      <c r="E9" s="2"/>
      <c r="F9" s="2"/>
    </row>
    <row r="10" spans="2:6" ht="13.5">
      <c r="B10" s="2"/>
      <c r="C10" s="2"/>
      <c r="D10" s="2"/>
      <c r="E10" s="2"/>
      <c r="F10" s="2"/>
    </row>
    <row r="11" spans="2:6" ht="13.5">
      <c r="B11" s="2"/>
      <c r="C11" s="2"/>
      <c r="D11" s="2"/>
      <c r="E11" s="2"/>
      <c r="F11" s="2"/>
    </row>
    <row r="12" spans="2:6" ht="13.5">
      <c r="B12" s="2"/>
      <c r="C12" s="2"/>
      <c r="D12" s="2"/>
      <c r="E12" s="2"/>
      <c r="F12" s="2"/>
    </row>
    <row r="13" spans="2:6" ht="13.5">
      <c r="B13" s="2"/>
      <c r="C13" s="2"/>
      <c r="D13" s="2"/>
      <c r="E13" s="2"/>
      <c r="F13" s="2"/>
    </row>
    <row r="14" spans="2:6" ht="13.5">
      <c r="B14" s="2"/>
      <c r="C14" s="2"/>
      <c r="D14" s="2"/>
      <c r="E14" s="2"/>
      <c r="F14" s="2"/>
    </row>
    <row r="15" spans="2:6" ht="13.5">
      <c r="B15" s="2"/>
      <c r="C15" s="2"/>
      <c r="D15" s="2"/>
      <c r="E15" s="2"/>
      <c r="F15" s="2"/>
    </row>
    <row r="16" spans="2:6" ht="13.5">
      <c r="B16" s="2"/>
      <c r="C16" s="2"/>
      <c r="D16" s="2"/>
      <c r="E16" s="2"/>
      <c r="F16" s="2"/>
    </row>
    <row r="17" spans="2:6" ht="13.5">
      <c r="B17" s="2"/>
      <c r="C17" s="2"/>
      <c r="D17" s="2"/>
      <c r="E17" s="2"/>
      <c r="F17" s="2"/>
    </row>
    <row r="18" spans="2:6" ht="13.5">
      <c r="B18" s="2"/>
      <c r="C18" s="2"/>
      <c r="D18" s="2"/>
      <c r="E18" s="2"/>
      <c r="F18" s="2"/>
    </row>
    <row r="19" spans="2:6" ht="13.5">
      <c r="B19" s="2"/>
      <c r="C19" s="2"/>
      <c r="D19" s="2"/>
      <c r="E19" s="2"/>
      <c r="F19" s="2"/>
    </row>
    <row r="20" spans="2:6" ht="13.5">
      <c r="B20" s="2"/>
      <c r="C20" s="2"/>
      <c r="D20" s="2"/>
      <c r="E20" s="2"/>
      <c r="F20" s="2"/>
    </row>
    <row r="21" spans="2:6" ht="13.5">
      <c r="B21" s="2"/>
      <c r="C21" s="2"/>
      <c r="D21" s="2"/>
      <c r="E21" s="2"/>
      <c r="F21" s="2"/>
    </row>
    <row r="22" spans="2:6" ht="13.5">
      <c r="B22" s="5"/>
      <c r="C22" s="2"/>
      <c r="D22" s="2"/>
      <c r="E22" s="5"/>
      <c r="F22" s="5"/>
    </row>
    <row r="23" spans="2:6" ht="13.5">
      <c r="B23" s="5"/>
      <c r="C23" s="5"/>
      <c r="D23" s="5"/>
      <c r="E23" s="5"/>
      <c r="F23" s="5"/>
    </row>
    <row r="24" spans="2:6" ht="13.5">
      <c r="B24" s="5"/>
      <c r="C24" s="5"/>
      <c r="D24" s="5"/>
      <c r="E24" s="5"/>
      <c r="F24" s="5"/>
    </row>
    <row r="25" spans="2:6" ht="13.5">
      <c r="B25" s="3"/>
      <c r="C25" s="3"/>
      <c r="D25" s="3"/>
      <c r="E25" s="3"/>
      <c r="F25" s="3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参謀本部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Mr.参謀</dc:creator>
  <cp:keywords/>
  <dc:description/>
  <cp:lastModifiedBy>Mr.参謀</cp:lastModifiedBy>
  <cp:lastPrinted>2012-01-02T09:14:08Z</cp:lastPrinted>
  <dcterms:created xsi:type="dcterms:W3CDTF">2006-09-28T16:33:28Z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